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tabRatio="1000" activeTab="0"/>
  </bookViews>
  <sheets>
    <sheet name="Jämförelse" sheetId="1" r:id="rId1"/>
    <sheet name="Bortfall" sheetId="2" r:id="rId2"/>
  </sheets>
  <definedNames/>
  <calcPr fullCalcOnLoad="1"/>
</workbook>
</file>

<file path=xl/sharedStrings.xml><?xml version="1.0" encoding="utf-8"?>
<sst xmlns="http://schemas.openxmlformats.org/spreadsheetml/2006/main" count="216" uniqueCount="61">
  <si>
    <t>Matematik</t>
  </si>
  <si>
    <t>ISN</t>
  </si>
  <si>
    <t>Björknässkolan</t>
  </si>
  <si>
    <t>Myrsjöskolan</t>
  </si>
  <si>
    <t>Skuru skola</t>
  </si>
  <si>
    <t>Alléskolan</t>
  </si>
  <si>
    <t>Backeboskolan</t>
  </si>
  <si>
    <t>Boo Gårds skola</t>
  </si>
  <si>
    <t>Boo skola</t>
  </si>
  <si>
    <t>Brannhällskolan</t>
  </si>
  <si>
    <t>Duvnäs skola</t>
  </si>
  <si>
    <t>Ektorps skola</t>
  </si>
  <si>
    <t>Igelboda skola</t>
  </si>
  <si>
    <t>Jarlabergs skola</t>
  </si>
  <si>
    <t>Järla skola</t>
  </si>
  <si>
    <t>Neglinge skola</t>
  </si>
  <si>
    <t>Nybackaskolan</t>
  </si>
  <si>
    <t>Saltängens skola</t>
  </si>
  <si>
    <t>Sickla skola</t>
  </si>
  <si>
    <t>Solsidans skola</t>
  </si>
  <si>
    <t>Stensö skola</t>
  </si>
  <si>
    <t>Sågtorpsskolan</t>
  </si>
  <si>
    <t>Vilans skola</t>
  </si>
  <si>
    <t>Älta skola</t>
  </si>
  <si>
    <t>Ljusets skola</t>
  </si>
  <si>
    <t>Lännbo friskola</t>
  </si>
  <si>
    <t>Lännersta skola</t>
  </si>
  <si>
    <t>Skolår 3</t>
  </si>
  <si>
    <t>Ordprov</t>
  </si>
  <si>
    <t>Textprov</t>
  </si>
  <si>
    <t>Skolår 8</t>
  </si>
  <si>
    <t>Summa kommunen</t>
  </si>
  <si>
    <t>Eklidens skola</t>
  </si>
  <si>
    <t>Samskolan</t>
  </si>
  <si>
    <t>Stavsborgsskolan</t>
  </si>
  <si>
    <t>1999</t>
  </si>
  <si>
    <t>2000</t>
  </si>
  <si>
    <t>…</t>
  </si>
  <si>
    <t>Duvnäs skola och Saltängens skola samredovisades 1999.</t>
  </si>
  <si>
    <t>Procentuell andel elever som klarat minimigränsen på alla delområden</t>
  </si>
  <si>
    <t>Sigfridsborgsskolan</t>
  </si>
  <si>
    <t>Montessoriskolan Castello</t>
  </si>
  <si>
    <t>Jämförelse med andra kommuners genomsnitt och riksgenomsnitt</t>
  </si>
  <si>
    <t>Nacka</t>
  </si>
  <si>
    <t>Ekerö</t>
  </si>
  <si>
    <t>Sollentuna</t>
  </si>
  <si>
    <t>Stockholm</t>
  </si>
  <si>
    <t>IEA Sverige 1991</t>
  </si>
  <si>
    <t>Maxvärde</t>
  </si>
  <si>
    <t>Tyresö</t>
  </si>
  <si>
    <t>Upplands Väsby</t>
  </si>
  <si>
    <t>Matematik (%)</t>
  </si>
  <si>
    <t>Textprov (poäng)</t>
  </si>
  <si>
    <t>Ordprov (poäng)</t>
  </si>
  <si>
    <t>---</t>
  </si>
  <si>
    <t>Kommunala prov, jämförelse 1999 - 2001</t>
  </si>
  <si>
    <t>2001</t>
  </si>
  <si>
    <t>Nyholmska skolan</t>
  </si>
  <si>
    <t>Stockholm 1991</t>
  </si>
  <si>
    <t>Kommunala prov 2001</t>
  </si>
  <si>
    <t>Procentuell andel elever som deltagit i proven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</si>
</sst>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.000"/>
  </numFmts>
  <fonts count="7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15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wrapText="1"/>
      <protection locked="0"/>
    </xf>
    <xf numFmtId="3" fontId="5" fillId="2" borderId="0" xfId="0" applyNumberFormat="1" applyFont="1" applyFill="1" applyAlignment="1" applyProtection="1">
      <alignment wrapText="1"/>
      <protection locked="0"/>
    </xf>
    <xf numFmtId="9" fontId="2" fillId="0" borderId="0" xfId="15" applyFont="1" applyAlignment="1" applyProtection="1">
      <alignment/>
      <protection locked="0"/>
    </xf>
    <xf numFmtId="3" fontId="5" fillId="2" borderId="0" xfId="0" applyNumberFormat="1" applyFont="1" applyFill="1" applyAlignment="1" applyProtection="1" quotePrefix="1">
      <alignment horizontal="right" wrapText="1"/>
      <protection locked="0"/>
    </xf>
    <xf numFmtId="1" fontId="2" fillId="0" borderId="0" xfId="15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/>
    </xf>
    <xf numFmtId="3" fontId="2" fillId="2" borderId="0" xfId="0" applyNumberFormat="1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9" fontId="2" fillId="0" borderId="0" xfId="15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 quotePrefix="1">
      <alignment horizontal="right"/>
      <protection locked="0"/>
    </xf>
    <xf numFmtId="1" fontId="2" fillId="0" borderId="0" xfId="15" applyNumberFormat="1" applyFont="1" applyAlignment="1" applyProtection="1" quotePrefix="1">
      <alignment horizontal="right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1" fontId="2" fillId="0" borderId="0" xfId="15" applyNumberFormat="1" applyFont="1" applyAlignment="1" applyProtection="1">
      <alignment/>
      <protection locked="0"/>
    </xf>
    <xf numFmtId="3" fontId="2" fillId="0" borderId="0" xfId="15" applyNumberFormat="1" applyFont="1" applyAlignment="1" applyProtection="1">
      <alignment/>
      <protection locked="0"/>
    </xf>
    <xf numFmtId="1" fontId="2" fillId="0" borderId="0" xfId="15" applyNumberFormat="1" applyFont="1" applyAlignment="1" applyProtection="1">
      <alignment/>
      <protection/>
    </xf>
    <xf numFmtId="1" fontId="2" fillId="0" borderId="0" xfId="15" applyNumberFormat="1" applyFont="1" applyFill="1" applyAlignment="1" applyProtection="1">
      <alignment/>
      <protection/>
    </xf>
    <xf numFmtId="9" fontId="2" fillId="0" borderId="0" xfId="15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 locked="0"/>
    </xf>
    <xf numFmtId="1" fontId="3" fillId="0" borderId="0" xfId="15" applyNumberFormat="1" applyFont="1" applyAlignment="1" applyProtection="1">
      <alignment/>
      <protection/>
    </xf>
    <xf numFmtId="1" fontId="3" fillId="0" borderId="0" xfId="15" applyNumberFormat="1" applyFont="1" applyAlignment="1" applyProtection="1">
      <alignment/>
      <protection locked="0"/>
    </xf>
    <xf numFmtId="3" fontId="3" fillId="0" borderId="0" xfId="15" applyNumberFormat="1" applyFont="1" applyAlignment="1" applyProtection="1">
      <alignment/>
      <protection locked="0"/>
    </xf>
    <xf numFmtId="9" fontId="3" fillId="0" borderId="0" xfId="15" applyFont="1" applyAlignment="1" applyProtection="1">
      <alignment/>
      <protection/>
    </xf>
    <xf numFmtId="3" fontId="2" fillId="0" borderId="0" xfId="15" applyNumberFormat="1" applyFont="1" applyAlignment="1" applyProtection="1" quotePrefix="1">
      <alignment horizontal="righ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 quotePrefix="1">
      <alignment horizontal="right"/>
      <protection locked="0"/>
    </xf>
    <xf numFmtId="3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1" fontId="2" fillId="0" borderId="0" xfId="15" applyNumberFormat="1" applyFont="1" applyFill="1" applyAlignment="1" applyProtection="1">
      <alignment/>
      <protection locked="0"/>
    </xf>
    <xf numFmtId="3" fontId="2" fillId="0" borderId="0" xfId="15" applyNumberFormat="1" applyFont="1" applyFill="1" applyAlignment="1" applyProtection="1">
      <alignment/>
      <protection locked="0"/>
    </xf>
    <xf numFmtId="1" fontId="2" fillId="0" borderId="0" xfId="15" applyNumberFormat="1" applyFont="1" applyFill="1" applyAlignment="1" applyProtection="1" quotePrefix="1">
      <alignment horizontal="right"/>
      <protection/>
    </xf>
    <xf numFmtId="9" fontId="0" fillId="0" borderId="0" xfId="15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1" fillId="0" borderId="0" xfId="0" applyNumberFormat="1" applyFont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9" fontId="0" fillId="0" borderId="0" xfId="15" applyAlignment="1" applyProtection="1">
      <alignment wrapText="1"/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 wrapText="1"/>
      <protection locked="0"/>
    </xf>
    <xf numFmtId="9" fontId="4" fillId="0" borderId="0" xfId="15" applyFont="1" applyFill="1" applyAlignment="1" applyProtection="1">
      <alignment horizontal="center" wrapText="1"/>
      <protection locked="0"/>
    </xf>
    <xf numFmtId="9" fontId="4" fillId="2" borderId="0" xfId="15" applyFont="1" applyFill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2"/>
  <sheetViews>
    <sheetView tabSelected="1" workbookViewId="0" topLeftCell="A5">
      <selection activeCell="A36" sqref="A36"/>
    </sheetView>
  </sheetViews>
  <sheetFormatPr defaultColWidth="9.00390625" defaultRowHeight="15.75"/>
  <cols>
    <col min="1" max="1" width="19.125" style="6" customWidth="1"/>
    <col min="2" max="2" width="7.75390625" style="4" bestFit="1" customWidth="1"/>
    <col min="3" max="3" width="6.50390625" style="5" customWidth="1"/>
    <col min="4" max="4" width="6.50390625" style="5" bestFit="1" customWidth="1"/>
    <col min="5" max="5" width="0.875" style="4" customWidth="1"/>
    <col min="6" max="6" width="6.25390625" style="4" customWidth="1"/>
    <col min="7" max="8" width="6.50390625" style="4" customWidth="1"/>
    <col min="9" max="9" width="0.875" style="4" customWidth="1"/>
    <col min="10" max="10" width="7.75390625" style="4" bestFit="1" customWidth="1"/>
    <col min="11" max="12" width="6.50390625" style="4" customWidth="1"/>
    <col min="13" max="13" width="3.50390625" style="4" customWidth="1"/>
    <col min="14" max="14" width="19.375" style="4" customWidth="1"/>
    <col min="15" max="15" width="6.25390625" style="4" customWidth="1"/>
    <col min="16" max="16" width="7.75390625" style="4" customWidth="1"/>
    <col min="17" max="17" width="7.75390625" style="4" bestFit="1" customWidth="1"/>
    <col min="18" max="18" width="0.875" style="4" customWidth="1"/>
    <col min="19" max="19" width="6.25390625" style="4" customWidth="1"/>
    <col min="20" max="20" width="6.50390625" style="4" customWidth="1"/>
    <col min="21" max="21" width="6.50390625" style="4" bestFit="1" customWidth="1"/>
    <col min="22" max="24" width="8.625" style="4" customWidth="1"/>
    <col min="25" max="39" width="9.00390625" style="4" customWidth="1"/>
    <col min="40" max="16384" width="9.00390625" style="6" customWidth="1"/>
  </cols>
  <sheetData>
    <row r="1" ht="20.25">
      <c r="A1" s="3" t="s">
        <v>55</v>
      </c>
    </row>
    <row r="2" spans="1:39" s="21" customFormat="1" ht="12.75">
      <c r="A2" s="18" t="s">
        <v>39</v>
      </c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ht="6.75" customHeight="1">
      <c r="A3" s="3"/>
    </row>
    <row r="4" spans="1:12" ht="20.25">
      <c r="A4" s="3"/>
      <c r="B4" s="52" t="s">
        <v>27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3" s="8" customFormat="1" ht="15.75">
      <c r="B5" s="53" t="s">
        <v>28</v>
      </c>
      <c r="C5" s="53"/>
      <c r="D5" s="53"/>
      <c r="E5" s="16"/>
      <c r="F5" s="53" t="s">
        <v>29</v>
      </c>
      <c r="G5" s="53"/>
      <c r="H5" s="53"/>
      <c r="I5" s="16"/>
      <c r="J5" s="53" t="s">
        <v>0</v>
      </c>
      <c r="K5" s="53"/>
      <c r="L5" s="53"/>
      <c r="M5" s="4"/>
    </row>
    <row r="6" spans="2:13" s="9" customFormat="1" ht="15.75">
      <c r="B6" s="12" t="s">
        <v>35</v>
      </c>
      <c r="C6" s="12" t="s">
        <v>36</v>
      </c>
      <c r="D6" s="12" t="s">
        <v>56</v>
      </c>
      <c r="E6" s="17"/>
      <c r="F6" s="12" t="s">
        <v>35</v>
      </c>
      <c r="G6" s="12" t="s">
        <v>36</v>
      </c>
      <c r="H6" s="12" t="s">
        <v>56</v>
      </c>
      <c r="I6" s="17"/>
      <c r="J6" s="12" t="s">
        <v>35</v>
      </c>
      <c r="K6" s="12" t="s">
        <v>36</v>
      </c>
      <c r="L6" s="12" t="s">
        <v>56</v>
      </c>
      <c r="M6" s="4"/>
    </row>
    <row r="7" spans="1:39" s="7" customFormat="1" ht="12.75" customHeight="1">
      <c r="A7" s="7" t="s">
        <v>5</v>
      </c>
      <c r="B7" s="27">
        <v>40</v>
      </c>
      <c r="C7" s="28">
        <f>21/39*100</f>
        <v>53.84615384615385</v>
      </c>
      <c r="D7" s="7">
        <f>23/29*100</f>
        <v>79.3103448275862</v>
      </c>
      <c r="E7" s="28"/>
      <c r="F7" s="27">
        <v>63</v>
      </c>
      <c r="G7" s="27">
        <f>23/39*100</f>
        <v>58.97435897435898</v>
      </c>
      <c r="H7" s="28">
        <f>21/29*100</f>
        <v>72.41379310344827</v>
      </c>
      <c r="I7" s="8"/>
      <c r="J7" s="27">
        <v>21</v>
      </c>
      <c r="K7" s="29">
        <v>63</v>
      </c>
      <c r="L7" s="29">
        <v>44</v>
      </c>
      <c r="M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7" customFormat="1" ht="12.75" customHeight="1">
      <c r="A8" s="7" t="s">
        <v>6</v>
      </c>
      <c r="B8" s="13" t="s">
        <v>37</v>
      </c>
      <c r="C8" s="28">
        <f>2/9*100</f>
        <v>22.22222222222222</v>
      </c>
      <c r="D8" s="7">
        <f>9/11*100</f>
        <v>81.81818181818183</v>
      </c>
      <c r="E8" s="28"/>
      <c r="F8" s="13" t="s">
        <v>37</v>
      </c>
      <c r="G8" s="27">
        <f>7/9*100</f>
        <v>77.77777777777779</v>
      </c>
      <c r="H8" s="28">
        <f>7/11*100</f>
        <v>63.63636363636363</v>
      </c>
      <c r="I8" s="8"/>
      <c r="J8" s="13" t="s">
        <v>37</v>
      </c>
      <c r="K8" s="29">
        <v>56</v>
      </c>
      <c r="L8" s="29">
        <v>58</v>
      </c>
      <c r="M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7" customFormat="1" ht="12.75" customHeight="1">
      <c r="A9" s="7" t="s">
        <v>2</v>
      </c>
      <c r="B9" s="27">
        <v>78</v>
      </c>
      <c r="C9" s="28">
        <f>62/75*100</f>
        <v>82.66666666666667</v>
      </c>
      <c r="D9" s="7">
        <f>49/58*100</f>
        <v>84.48275862068965</v>
      </c>
      <c r="E9" s="28"/>
      <c r="F9" s="27">
        <v>78</v>
      </c>
      <c r="G9" s="27">
        <f>58/75*100</f>
        <v>77.33333333333333</v>
      </c>
      <c r="H9" s="28">
        <f>51/58*100</f>
        <v>87.93103448275862</v>
      </c>
      <c r="I9" s="8"/>
      <c r="J9" s="27">
        <v>81</v>
      </c>
      <c r="K9" s="29">
        <v>64</v>
      </c>
      <c r="L9" s="29">
        <v>85</v>
      </c>
      <c r="M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7" customFormat="1" ht="12.75" customHeight="1">
      <c r="A10" s="7" t="s">
        <v>7</v>
      </c>
      <c r="B10" s="27">
        <v>64</v>
      </c>
      <c r="C10" s="28">
        <f>49/61*100</f>
        <v>80.32786885245902</v>
      </c>
      <c r="D10" s="7">
        <f>55/70*100</f>
        <v>78.57142857142857</v>
      </c>
      <c r="E10" s="28"/>
      <c r="F10" s="27">
        <v>80</v>
      </c>
      <c r="G10" s="27">
        <f>50/61*100</f>
        <v>81.9672131147541</v>
      </c>
      <c r="H10" s="28">
        <f>59/70*100</f>
        <v>84.28571428571429</v>
      </c>
      <c r="I10" s="8"/>
      <c r="J10" s="27">
        <v>32</v>
      </c>
      <c r="K10" s="29">
        <v>67</v>
      </c>
      <c r="L10" s="29">
        <v>58</v>
      </c>
      <c r="M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7" customFormat="1" ht="12.75" customHeight="1">
      <c r="A11" s="7" t="s">
        <v>8</v>
      </c>
      <c r="B11" s="27">
        <v>83</v>
      </c>
      <c r="C11" s="28">
        <f>12/14*100</f>
        <v>85.71428571428571</v>
      </c>
      <c r="D11" s="7">
        <f>3/3*100</f>
        <v>100</v>
      </c>
      <c r="E11" s="28"/>
      <c r="F11" s="27">
        <v>73</v>
      </c>
      <c r="G11" s="27">
        <f>10/13*100</f>
        <v>76.92307692307693</v>
      </c>
      <c r="H11" s="28">
        <f>2/3*100</f>
        <v>66.66666666666666</v>
      </c>
      <c r="I11" s="8"/>
      <c r="J11" s="27">
        <v>9</v>
      </c>
      <c r="K11" s="30">
        <v>0</v>
      </c>
      <c r="L11" s="30">
        <v>67</v>
      </c>
      <c r="M11" s="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7" customFormat="1" ht="12.75" customHeight="1">
      <c r="A12" s="7" t="s">
        <v>9</v>
      </c>
      <c r="B12" s="27">
        <v>67</v>
      </c>
      <c r="C12" s="28">
        <f>41/54*100</f>
        <v>75.92592592592592</v>
      </c>
      <c r="D12" s="7">
        <f>33/51*100</f>
        <v>64.70588235294117</v>
      </c>
      <c r="E12" s="28"/>
      <c r="F12" s="27">
        <v>74</v>
      </c>
      <c r="G12" s="27">
        <f>38/54*100</f>
        <v>70.37037037037037</v>
      </c>
      <c r="H12" s="28">
        <f>39/51*100</f>
        <v>76.47058823529412</v>
      </c>
      <c r="I12" s="8"/>
      <c r="J12" s="27">
        <v>53</v>
      </c>
      <c r="K12" s="29">
        <v>53</v>
      </c>
      <c r="L12" s="29">
        <v>63</v>
      </c>
      <c r="M12" s="3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7" customFormat="1" ht="12.75" customHeight="1">
      <c r="A13" s="7" t="s">
        <v>10</v>
      </c>
      <c r="B13" s="27">
        <v>69</v>
      </c>
      <c r="C13" s="28">
        <f>29/33*100</f>
        <v>87.87878787878788</v>
      </c>
      <c r="D13" s="7">
        <f>42/47*100</f>
        <v>89.36170212765957</v>
      </c>
      <c r="E13" s="28"/>
      <c r="F13" s="27">
        <v>83</v>
      </c>
      <c r="G13" s="27">
        <f>31/33*100</f>
        <v>93.93939393939394</v>
      </c>
      <c r="H13" s="28">
        <f>45/47*100</f>
        <v>95.74468085106383</v>
      </c>
      <c r="I13" s="8"/>
      <c r="J13" s="27">
        <v>41</v>
      </c>
      <c r="K13" s="29">
        <v>100</v>
      </c>
      <c r="L13" s="29">
        <v>85</v>
      </c>
      <c r="M13" s="3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7" customFormat="1" ht="12.75" customHeight="1">
      <c r="A14" s="7" t="s">
        <v>11</v>
      </c>
      <c r="B14" s="27">
        <v>77</v>
      </c>
      <c r="C14" s="28">
        <f>34/43*100</f>
        <v>79.06976744186046</v>
      </c>
      <c r="D14" s="7">
        <f>39/52*100</f>
        <v>75</v>
      </c>
      <c r="E14" s="28"/>
      <c r="F14" s="27">
        <v>66</v>
      </c>
      <c r="G14" s="27">
        <f>29/41*100</f>
        <v>70.73170731707317</v>
      </c>
      <c r="H14" s="28">
        <f>43/50*100</f>
        <v>86</v>
      </c>
      <c r="I14" s="8"/>
      <c r="J14" s="27">
        <v>61</v>
      </c>
      <c r="K14" s="29">
        <v>46</v>
      </c>
      <c r="L14" s="29">
        <v>55</v>
      </c>
      <c r="M14" s="3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7" customFormat="1" ht="12.75" customHeight="1">
      <c r="A15" s="7" t="s">
        <v>12</v>
      </c>
      <c r="B15" s="27">
        <v>51</v>
      </c>
      <c r="C15" s="28">
        <f>22/37*100</f>
        <v>59.45945945945946</v>
      </c>
      <c r="D15" s="7">
        <f>36/44*100</f>
        <v>81.81818181818183</v>
      </c>
      <c r="E15" s="28"/>
      <c r="F15" s="27">
        <v>78</v>
      </c>
      <c r="G15" s="27">
        <f>30/37*100</f>
        <v>81.08108108108108</v>
      </c>
      <c r="H15" s="28">
        <f>33/44*100</f>
        <v>75</v>
      </c>
      <c r="I15" s="8"/>
      <c r="J15" s="27">
        <v>45</v>
      </c>
      <c r="K15" s="29">
        <v>62</v>
      </c>
      <c r="L15" s="29">
        <v>68</v>
      </c>
      <c r="M15" s="3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7" customFormat="1" ht="12.75" customHeight="1">
      <c r="A16" s="7" t="s">
        <v>1</v>
      </c>
      <c r="B16" s="27">
        <v>89</v>
      </c>
      <c r="C16" s="28">
        <f>7/21*100</f>
        <v>33.33333333333333</v>
      </c>
      <c r="D16" s="7">
        <f>9/15*100</f>
        <v>60</v>
      </c>
      <c r="E16" s="28"/>
      <c r="F16" s="27">
        <v>50</v>
      </c>
      <c r="G16" s="27">
        <f>6/21*100</f>
        <v>28.57142857142857</v>
      </c>
      <c r="H16" s="28">
        <f>8/15*100</f>
        <v>53.333333333333336</v>
      </c>
      <c r="I16" s="8"/>
      <c r="J16" s="27">
        <v>40</v>
      </c>
      <c r="K16" s="29">
        <v>33</v>
      </c>
      <c r="L16" s="29">
        <v>90</v>
      </c>
      <c r="M16" s="3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7" customFormat="1" ht="12.75" customHeight="1">
      <c r="A17" s="7" t="s">
        <v>13</v>
      </c>
      <c r="B17" s="27">
        <v>84</v>
      </c>
      <c r="C17" s="28">
        <f>35/45*100</f>
        <v>77.77777777777779</v>
      </c>
      <c r="D17" s="7">
        <f>16/51*100</f>
        <v>31.372549019607842</v>
      </c>
      <c r="E17" s="28"/>
      <c r="F17" s="27">
        <v>79</v>
      </c>
      <c r="G17" s="27">
        <f>35/45*100</f>
        <v>77.77777777777779</v>
      </c>
      <c r="H17" s="28">
        <f>38/51*100</f>
        <v>74.50980392156863</v>
      </c>
      <c r="I17" s="8"/>
      <c r="J17" s="27">
        <v>73</v>
      </c>
      <c r="K17" s="29">
        <v>67</v>
      </c>
      <c r="L17" s="29">
        <v>60</v>
      </c>
      <c r="M17" s="3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7" customFormat="1" ht="12.75" customHeight="1">
      <c r="A18" s="7" t="s">
        <v>14</v>
      </c>
      <c r="B18" s="27">
        <v>82</v>
      </c>
      <c r="C18" s="28">
        <f>40/43*100</f>
        <v>93.02325581395348</v>
      </c>
      <c r="D18" s="7">
        <f>36/46*100</f>
        <v>78.26086956521739</v>
      </c>
      <c r="E18" s="28"/>
      <c r="F18" s="27">
        <v>84</v>
      </c>
      <c r="G18" s="27">
        <f>37/43*100</f>
        <v>86.04651162790698</v>
      </c>
      <c r="H18" s="28">
        <f>32/46*100</f>
        <v>69.56521739130434</v>
      </c>
      <c r="I18" s="8"/>
      <c r="J18" s="27">
        <v>38</v>
      </c>
      <c r="K18" s="29">
        <v>91</v>
      </c>
      <c r="L18" s="29">
        <v>58</v>
      </c>
      <c r="M18" s="31"/>
      <c r="N18" s="8"/>
      <c r="O18" s="31"/>
      <c r="P18" s="31"/>
      <c r="Q18" s="31"/>
      <c r="R18" s="8"/>
      <c r="S18" s="31"/>
      <c r="T18" s="31"/>
      <c r="U18" s="3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7" customFormat="1" ht="12.75">
      <c r="A19" s="7" t="s">
        <v>24</v>
      </c>
      <c r="B19" s="25" t="s">
        <v>54</v>
      </c>
      <c r="C19" s="28">
        <f>10/12*100</f>
        <v>83.33333333333334</v>
      </c>
      <c r="D19" s="7">
        <f>5/9*100</f>
        <v>55.55555555555556</v>
      </c>
      <c r="E19" s="28"/>
      <c r="F19" s="25" t="s">
        <v>54</v>
      </c>
      <c r="G19" s="27">
        <f>11/12*100</f>
        <v>91.66666666666666</v>
      </c>
      <c r="H19" s="7">
        <f>8/8*100</f>
        <v>100</v>
      </c>
      <c r="I19" s="8"/>
      <c r="J19" s="25" t="s">
        <v>54</v>
      </c>
      <c r="K19" s="29">
        <v>91</v>
      </c>
      <c r="L19" s="29">
        <v>50</v>
      </c>
      <c r="M19" s="31"/>
      <c r="N19" s="8"/>
      <c r="O19" s="31"/>
      <c r="P19" s="31"/>
      <c r="Q19" s="31"/>
      <c r="R19" s="8"/>
      <c r="S19" s="31"/>
      <c r="T19" s="31"/>
      <c r="U19" s="3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7" customFormat="1" ht="12.75" customHeight="1">
      <c r="A20" s="7" t="s">
        <v>25</v>
      </c>
      <c r="B20" s="27">
        <v>35</v>
      </c>
      <c r="C20" s="28">
        <f>12/16*100</f>
        <v>75</v>
      </c>
      <c r="D20" s="7">
        <f>12/17*100</f>
        <v>70.58823529411765</v>
      </c>
      <c r="E20" s="28"/>
      <c r="F20" s="27">
        <v>65</v>
      </c>
      <c r="G20" s="27">
        <f>8/16*100</f>
        <v>50</v>
      </c>
      <c r="H20" s="28">
        <f>11/17*100</f>
        <v>64.70588235294117</v>
      </c>
      <c r="I20" s="8"/>
      <c r="J20" s="27">
        <v>21</v>
      </c>
      <c r="K20" s="29">
        <v>33</v>
      </c>
      <c r="L20" s="29">
        <v>47</v>
      </c>
      <c r="M20" s="31"/>
      <c r="N20" s="8"/>
      <c r="O20" s="31"/>
      <c r="P20" s="31"/>
      <c r="Q20" s="31"/>
      <c r="R20" s="8"/>
      <c r="S20" s="31"/>
      <c r="T20" s="31"/>
      <c r="U20" s="3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7" customFormat="1" ht="12.75" customHeight="1">
      <c r="A21" s="7" t="s">
        <v>26</v>
      </c>
      <c r="B21" s="25" t="s">
        <v>54</v>
      </c>
      <c r="C21" s="28">
        <f>5/7*100</f>
        <v>71.42857142857143</v>
      </c>
      <c r="D21" s="7">
        <f>17/30*100</f>
        <v>56.666666666666664</v>
      </c>
      <c r="E21" s="28"/>
      <c r="F21" s="25" t="s">
        <v>54</v>
      </c>
      <c r="G21" s="27">
        <f>6/7*100</f>
        <v>85.71428571428571</v>
      </c>
      <c r="H21" s="28">
        <f>22/30*100</f>
        <v>73.33333333333333</v>
      </c>
      <c r="I21" s="8"/>
      <c r="J21" s="25" t="s">
        <v>54</v>
      </c>
      <c r="K21" s="29">
        <v>88</v>
      </c>
      <c r="L21" s="29">
        <v>50</v>
      </c>
      <c r="M21" s="31"/>
      <c r="N21" s="8"/>
      <c r="O21" s="31"/>
      <c r="P21" s="31"/>
      <c r="Q21" s="31"/>
      <c r="R21" s="8"/>
      <c r="S21" s="31"/>
      <c r="T21" s="31"/>
      <c r="U21" s="3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7" customFormat="1" ht="12.75" customHeight="1">
      <c r="A22" s="42" t="s">
        <v>41</v>
      </c>
      <c r="B22" s="43">
        <v>93</v>
      </c>
      <c r="C22" s="44">
        <f>10/18*100</f>
        <v>55.55555555555556</v>
      </c>
      <c r="D22" s="42">
        <f>6/16*100</f>
        <v>37.5</v>
      </c>
      <c r="E22" s="44"/>
      <c r="F22" s="43">
        <v>79</v>
      </c>
      <c r="G22" s="43">
        <f>16/18*100</f>
        <v>88.88888888888889</v>
      </c>
      <c r="H22" s="44">
        <f>9/16*100</f>
        <v>56.25</v>
      </c>
      <c r="I22" s="40"/>
      <c r="J22" s="43">
        <v>31</v>
      </c>
      <c r="K22" s="30">
        <v>63</v>
      </c>
      <c r="L22" s="30">
        <v>24</v>
      </c>
      <c r="M22" s="31"/>
      <c r="N22" s="8"/>
      <c r="O22" s="31"/>
      <c r="P22" s="31"/>
      <c r="Q22" s="31"/>
      <c r="R22" s="8"/>
      <c r="S22" s="31"/>
      <c r="T22" s="31"/>
      <c r="U22" s="3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7" customFormat="1" ht="12.75" customHeight="1">
      <c r="A23" s="7" t="s">
        <v>3</v>
      </c>
      <c r="B23" s="27">
        <v>75</v>
      </c>
      <c r="C23" s="28">
        <f>43/58*100</f>
        <v>74.13793103448276</v>
      </c>
      <c r="D23" s="7">
        <f>35/51*100</f>
        <v>68.62745098039215</v>
      </c>
      <c r="E23" s="28"/>
      <c r="F23" s="27">
        <v>70</v>
      </c>
      <c r="G23" s="27">
        <f>45/58*100</f>
        <v>77.58620689655173</v>
      </c>
      <c r="H23" s="28">
        <f>37/51*100</f>
        <v>72.54901960784314</v>
      </c>
      <c r="I23" s="8"/>
      <c r="J23" s="27">
        <v>52</v>
      </c>
      <c r="K23" s="29">
        <v>53</v>
      </c>
      <c r="L23" s="29">
        <v>44</v>
      </c>
      <c r="M23" s="3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7" customFormat="1" ht="12.75" customHeight="1">
      <c r="A24" s="7" t="s">
        <v>15</v>
      </c>
      <c r="B24" s="27">
        <v>61</v>
      </c>
      <c r="C24" s="28">
        <f>32/46*100</f>
        <v>69.56521739130434</v>
      </c>
      <c r="D24" s="7">
        <f>46/52*100</f>
        <v>88.46153846153845</v>
      </c>
      <c r="E24" s="28"/>
      <c r="F24" s="27">
        <v>84</v>
      </c>
      <c r="G24" s="27">
        <f>33/46*100</f>
        <v>71.73913043478261</v>
      </c>
      <c r="H24" s="28">
        <f>46/52*100</f>
        <v>88.46153846153845</v>
      </c>
      <c r="I24" s="8"/>
      <c r="J24" s="27">
        <v>38</v>
      </c>
      <c r="K24" s="29">
        <v>74</v>
      </c>
      <c r="L24" s="29">
        <v>70</v>
      </c>
      <c r="M24" s="3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s="7" customFormat="1" ht="12.75" customHeight="1">
      <c r="A25" s="7" t="s">
        <v>16</v>
      </c>
      <c r="B25" s="27">
        <v>85</v>
      </c>
      <c r="C25" s="28">
        <f>35/42*100</f>
        <v>83.33333333333334</v>
      </c>
      <c r="D25" s="7">
        <f>26/38*100</f>
        <v>68.42105263157895</v>
      </c>
      <c r="E25" s="28"/>
      <c r="F25" s="27">
        <v>72</v>
      </c>
      <c r="G25" s="27">
        <f>26/42*100</f>
        <v>61.904761904761905</v>
      </c>
      <c r="H25" s="28">
        <f>31/38*100</f>
        <v>81.57894736842105</v>
      </c>
      <c r="I25" s="8"/>
      <c r="J25" s="27">
        <v>46</v>
      </c>
      <c r="K25" s="29">
        <v>65</v>
      </c>
      <c r="L25" s="29">
        <v>62</v>
      </c>
      <c r="M25" s="31"/>
      <c r="N25" s="8"/>
      <c r="O25" s="31"/>
      <c r="P25" s="31"/>
      <c r="Q25" s="31"/>
      <c r="R25" s="8"/>
      <c r="S25" s="31"/>
      <c r="T25" s="31"/>
      <c r="U25" s="31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s="7" customFormat="1" ht="12.75" customHeight="1">
      <c r="A26" s="7" t="s">
        <v>57</v>
      </c>
      <c r="B26" s="25" t="s">
        <v>54</v>
      </c>
      <c r="C26" s="37" t="s">
        <v>54</v>
      </c>
      <c r="D26" s="7">
        <f>1/6*100</f>
        <v>16.666666666666664</v>
      </c>
      <c r="E26" s="28"/>
      <c r="F26" s="25" t="s">
        <v>54</v>
      </c>
      <c r="G26" s="37" t="s">
        <v>54</v>
      </c>
      <c r="H26" s="28">
        <f>3/6*100</f>
        <v>50</v>
      </c>
      <c r="I26" s="8"/>
      <c r="J26" s="25" t="s">
        <v>54</v>
      </c>
      <c r="K26" s="37" t="s">
        <v>54</v>
      </c>
      <c r="L26" s="29">
        <v>50</v>
      </c>
      <c r="M26" s="31"/>
      <c r="N26" s="8"/>
      <c r="O26" s="31"/>
      <c r="P26" s="31"/>
      <c r="Q26" s="31"/>
      <c r="R26" s="8"/>
      <c r="S26" s="31"/>
      <c r="T26" s="31"/>
      <c r="U26" s="3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7" customFormat="1" ht="12.75" customHeight="1">
      <c r="A27" s="7" t="s">
        <v>17</v>
      </c>
      <c r="B27" s="27">
        <v>69</v>
      </c>
      <c r="C27" s="28">
        <f>18/38*100</f>
        <v>47.368421052631575</v>
      </c>
      <c r="D27" s="7">
        <f>27/33*100</f>
        <v>81.81818181818183</v>
      </c>
      <c r="E27" s="28"/>
      <c r="F27" s="27">
        <v>83</v>
      </c>
      <c r="G27" s="27">
        <f>36/38*100</f>
        <v>94.73684210526315</v>
      </c>
      <c r="H27" s="28">
        <f>32/34*100</f>
        <v>94.11764705882352</v>
      </c>
      <c r="I27" s="8"/>
      <c r="J27" s="27">
        <v>41</v>
      </c>
      <c r="K27" s="29">
        <v>51</v>
      </c>
      <c r="L27" s="29">
        <v>75</v>
      </c>
      <c r="M27" s="31"/>
      <c r="N27" s="8"/>
      <c r="O27" s="31"/>
      <c r="P27" s="31"/>
      <c r="Q27" s="31"/>
      <c r="R27" s="8"/>
      <c r="S27" s="31"/>
      <c r="T27" s="31"/>
      <c r="U27" s="3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7" customFormat="1" ht="12.75" customHeight="1">
      <c r="A28" s="7" t="s">
        <v>18</v>
      </c>
      <c r="B28" s="27">
        <v>70</v>
      </c>
      <c r="C28" s="28">
        <f>12/23*100</f>
        <v>52.17391304347826</v>
      </c>
      <c r="D28" s="7">
        <f>18/19*100</f>
        <v>94.73684210526315</v>
      </c>
      <c r="E28" s="28"/>
      <c r="F28" s="27">
        <v>75</v>
      </c>
      <c r="G28" s="27">
        <f>15/23*100</f>
        <v>65.21739130434783</v>
      </c>
      <c r="H28" s="28">
        <f>18/19*100</f>
        <v>94.73684210526315</v>
      </c>
      <c r="I28" s="8"/>
      <c r="J28" s="27">
        <v>33</v>
      </c>
      <c r="K28" s="29">
        <v>24</v>
      </c>
      <c r="L28" s="29">
        <v>83</v>
      </c>
      <c r="M28" s="3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7" customFormat="1" ht="12.75" customHeight="1">
      <c r="A29" s="7" t="s">
        <v>40</v>
      </c>
      <c r="B29" s="27">
        <v>67</v>
      </c>
      <c r="C29" s="28">
        <f>35/52*100</f>
        <v>67.3076923076923</v>
      </c>
      <c r="D29" s="7">
        <f>45/45*100</f>
        <v>100</v>
      </c>
      <c r="E29" s="28"/>
      <c r="F29" s="27">
        <v>73</v>
      </c>
      <c r="G29" s="27">
        <f>42/51*100</f>
        <v>82.35294117647058</v>
      </c>
      <c r="H29" s="28">
        <f>43/45*100</f>
        <v>95.55555555555556</v>
      </c>
      <c r="I29" s="8"/>
      <c r="J29" s="27">
        <v>83</v>
      </c>
      <c r="K29" s="29">
        <v>74</v>
      </c>
      <c r="L29" s="29">
        <v>80</v>
      </c>
      <c r="M29" s="31"/>
      <c r="N29" s="8"/>
      <c r="O29" s="31"/>
      <c r="P29" s="31"/>
      <c r="Q29" s="31"/>
      <c r="R29" s="8"/>
      <c r="S29" s="31"/>
      <c r="T29" s="31"/>
      <c r="U29" s="3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7" customFormat="1" ht="12.75" customHeight="1">
      <c r="A30" s="7" t="s">
        <v>4</v>
      </c>
      <c r="B30" s="27">
        <v>91</v>
      </c>
      <c r="C30" s="28">
        <f>27/36*100</f>
        <v>75</v>
      </c>
      <c r="D30" s="7">
        <f>30/41*100</f>
        <v>73.17073170731707</v>
      </c>
      <c r="E30" s="28"/>
      <c r="F30" s="27">
        <v>82</v>
      </c>
      <c r="G30" s="27">
        <f>27/36*100</f>
        <v>75</v>
      </c>
      <c r="H30" s="28">
        <f>33/41*100</f>
        <v>80.48780487804879</v>
      </c>
      <c r="I30" s="8"/>
      <c r="J30" s="27">
        <v>61</v>
      </c>
      <c r="K30" s="29">
        <v>54</v>
      </c>
      <c r="L30" s="29">
        <v>68</v>
      </c>
      <c r="M30" s="31"/>
      <c r="N30" s="8"/>
      <c r="O30" s="31"/>
      <c r="P30" s="31"/>
      <c r="Q30" s="31"/>
      <c r="R30" s="8"/>
      <c r="S30" s="31"/>
      <c r="T30" s="31"/>
      <c r="U30" s="31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7" customFormat="1" ht="12.75" customHeight="1">
      <c r="A31" s="7" t="s">
        <v>19</v>
      </c>
      <c r="B31" s="27">
        <v>81</v>
      </c>
      <c r="C31" s="28">
        <f>21/29*100</f>
        <v>72.41379310344827</v>
      </c>
      <c r="D31" s="7">
        <f>21/27*100</f>
        <v>77.77777777777779</v>
      </c>
      <c r="E31" s="28"/>
      <c r="F31" s="27">
        <v>81</v>
      </c>
      <c r="G31" s="27">
        <f>23/29*100</f>
        <v>79.3103448275862</v>
      </c>
      <c r="H31" s="28">
        <f>23/27*100</f>
        <v>85.18518518518519</v>
      </c>
      <c r="I31" s="8"/>
      <c r="J31" s="27">
        <v>55</v>
      </c>
      <c r="K31" s="29">
        <v>79</v>
      </c>
      <c r="L31" s="29">
        <v>48</v>
      </c>
      <c r="M31" s="3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7" customFormat="1" ht="12.75" customHeight="1">
      <c r="A32" s="7" t="s">
        <v>20</v>
      </c>
      <c r="B32" s="27">
        <v>68</v>
      </c>
      <c r="C32" s="28">
        <f>25/33*100</f>
        <v>75.75757575757575</v>
      </c>
      <c r="D32" s="7">
        <f>15/24*100</f>
        <v>62.5</v>
      </c>
      <c r="E32" s="28"/>
      <c r="F32" s="27">
        <v>76</v>
      </c>
      <c r="G32" s="27">
        <f>20/33*100</f>
        <v>60.60606060606061</v>
      </c>
      <c r="H32" s="28">
        <f>17/24*100</f>
        <v>70.83333333333334</v>
      </c>
      <c r="I32" s="8"/>
      <c r="J32" s="27">
        <v>67</v>
      </c>
      <c r="K32" s="29">
        <v>56</v>
      </c>
      <c r="L32" s="29">
        <v>26</v>
      </c>
      <c r="M32" s="3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7" customFormat="1" ht="12.75" customHeight="1">
      <c r="A33" s="7" t="s">
        <v>21</v>
      </c>
      <c r="B33" s="27">
        <v>71</v>
      </c>
      <c r="C33" s="28">
        <f>38/46*100</f>
        <v>82.6086956521739</v>
      </c>
      <c r="D33" s="7">
        <f>27/35*100</f>
        <v>77.14285714285715</v>
      </c>
      <c r="E33" s="28"/>
      <c r="F33" s="27">
        <v>57</v>
      </c>
      <c r="G33" s="27">
        <f>30/42*100</f>
        <v>71.42857142857143</v>
      </c>
      <c r="H33" s="28">
        <f>29/35*100</f>
        <v>82.85714285714286</v>
      </c>
      <c r="I33" s="8"/>
      <c r="J33" s="27">
        <v>61</v>
      </c>
      <c r="K33" s="29">
        <v>62</v>
      </c>
      <c r="L33" s="29">
        <v>61</v>
      </c>
      <c r="M33" s="31"/>
      <c r="N33" s="8"/>
      <c r="O33" s="31"/>
      <c r="P33" s="31"/>
      <c r="Q33" s="31"/>
      <c r="R33" s="8"/>
      <c r="S33" s="31"/>
      <c r="T33" s="31"/>
      <c r="U33" s="31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7" customFormat="1" ht="12.75" customHeight="1">
      <c r="A34" s="7" t="s">
        <v>22</v>
      </c>
      <c r="B34" s="27">
        <v>63</v>
      </c>
      <c r="C34" s="28">
        <f>24/25*100</f>
        <v>96</v>
      </c>
      <c r="D34" s="7">
        <f>13/14*100</f>
        <v>92.85714285714286</v>
      </c>
      <c r="E34" s="28"/>
      <c r="F34" s="27">
        <v>58</v>
      </c>
      <c r="G34" s="27">
        <f>15/25*100</f>
        <v>60</v>
      </c>
      <c r="H34" s="28">
        <f>12/14*100</f>
        <v>85.71428571428571</v>
      </c>
      <c r="I34" s="8"/>
      <c r="J34" s="27">
        <v>14</v>
      </c>
      <c r="K34" s="29">
        <v>46</v>
      </c>
      <c r="L34" s="29">
        <v>71</v>
      </c>
      <c r="M34" s="31"/>
      <c r="N34" s="8"/>
      <c r="O34" s="31"/>
      <c r="P34" s="31"/>
      <c r="Q34" s="31"/>
      <c r="R34" s="8"/>
      <c r="S34" s="31"/>
      <c r="T34" s="31"/>
      <c r="U34" s="3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s="7" customFormat="1" ht="12.75" customHeight="1">
      <c r="A35" s="7" t="s">
        <v>23</v>
      </c>
      <c r="B35" s="27">
        <v>84</v>
      </c>
      <c r="C35" s="28">
        <f>53/75*100</f>
        <v>70.66666666666667</v>
      </c>
      <c r="D35" s="7">
        <f>49/73*100</f>
        <v>67.12328767123287</v>
      </c>
      <c r="E35" s="28"/>
      <c r="F35" s="27">
        <v>75</v>
      </c>
      <c r="G35" s="27">
        <f>64/75*100</f>
        <v>85.33333333333334</v>
      </c>
      <c r="H35" s="28">
        <f>56/73*100</f>
        <v>76.71232876712328</v>
      </c>
      <c r="I35" s="8"/>
      <c r="J35" s="27">
        <v>60</v>
      </c>
      <c r="K35" s="29">
        <v>73</v>
      </c>
      <c r="L35" s="29">
        <v>82</v>
      </c>
      <c r="M35" s="31"/>
      <c r="N35" s="8"/>
      <c r="O35" s="31"/>
      <c r="P35" s="31"/>
      <c r="Q35" s="31"/>
      <c r="R35" s="8"/>
      <c r="S35" s="31"/>
      <c r="T35" s="31"/>
      <c r="U35" s="3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7" customFormat="1" ht="12.75" customHeight="1">
      <c r="A36" s="1" t="s">
        <v>31</v>
      </c>
      <c r="B36" s="34">
        <f>SUM(B7:B35)/25</f>
        <v>71.88</v>
      </c>
      <c r="C36" s="35">
        <v>73</v>
      </c>
      <c r="D36" s="35">
        <v>74</v>
      </c>
      <c r="E36" s="28"/>
      <c r="F36" s="34">
        <f>SUM(F7:F35)/25</f>
        <v>73.52</v>
      </c>
      <c r="G36" s="34">
        <f>771/1022*100</f>
        <v>75.44031311154599</v>
      </c>
      <c r="H36" s="34">
        <v>80</v>
      </c>
      <c r="I36" s="2"/>
      <c r="J36" s="34">
        <f>SUM(J7:J35)/25</f>
        <v>46.28</v>
      </c>
      <c r="K36" s="33">
        <v>63</v>
      </c>
      <c r="L36" s="33">
        <v>64</v>
      </c>
      <c r="M36" s="31"/>
      <c r="N36" s="8"/>
      <c r="O36" s="31"/>
      <c r="P36" s="31"/>
      <c r="Q36" s="31"/>
      <c r="R36" s="8"/>
      <c r="S36" s="31"/>
      <c r="T36" s="31"/>
      <c r="U36" s="31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2:39" s="1" customFormat="1" ht="12.75" customHeight="1">
      <c r="B37" s="8"/>
      <c r="C37" s="11"/>
      <c r="D37" s="11"/>
      <c r="E37" s="8"/>
      <c r="F37" s="8"/>
      <c r="G37" s="8"/>
      <c r="H37" s="8"/>
      <c r="I37" s="8"/>
      <c r="J37" s="8"/>
      <c r="K37" s="8"/>
      <c r="L37" s="8"/>
      <c r="M37" s="3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7" customFormat="1" ht="12.75" customHeight="1">
      <c r="A38" s="7" t="s">
        <v>38</v>
      </c>
      <c r="B38" s="8"/>
      <c r="C38" s="11"/>
      <c r="D38" s="1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2:39" s="7" customFormat="1" ht="12.75" customHeight="1">
      <c r="B39" s="8"/>
      <c r="C39" s="11"/>
      <c r="D39" s="1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s="7" customFormat="1" ht="12.75" customHeight="1">
      <c r="A40" s="3"/>
      <c r="B40" s="4"/>
      <c r="C40" s="5"/>
      <c r="D40" s="5"/>
      <c r="E40" s="4"/>
      <c r="F40" s="4"/>
      <c r="G40" s="4"/>
      <c r="H40" s="4"/>
      <c r="I40" s="4"/>
      <c r="J40" s="4"/>
      <c r="K40" s="4"/>
      <c r="L40" s="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s="7" customFormat="1" ht="12.75" customHeight="1">
      <c r="A41" s="4"/>
      <c r="B41" s="52" t="s">
        <v>30</v>
      </c>
      <c r="C41" s="52"/>
      <c r="D41" s="52"/>
      <c r="E41" s="52"/>
      <c r="F41" s="52"/>
      <c r="G41" s="52"/>
      <c r="H41" s="52"/>
      <c r="I41" s="4"/>
      <c r="J41" s="4"/>
      <c r="K41" s="4"/>
      <c r="L41" s="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s="7" customFormat="1" ht="12.75" customHeight="1">
      <c r="A42" s="8"/>
      <c r="B42" s="53" t="s">
        <v>29</v>
      </c>
      <c r="C42" s="53"/>
      <c r="D42" s="53"/>
      <c r="E42" s="16"/>
      <c r="F42" s="53" t="s">
        <v>0</v>
      </c>
      <c r="G42" s="53"/>
      <c r="H42" s="53"/>
      <c r="I42" s="4"/>
      <c r="J42" s="4"/>
      <c r="K42" s="4"/>
      <c r="L42" s="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s="7" customFormat="1" ht="12.75" customHeight="1">
      <c r="A43" s="9"/>
      <c r="B43" s="12" t="s">
        <v>35</v>
      </c>
      <c r="C43" s="12" t="s">
        <v>36</v>
      </c>
      <c r="D43" s="12" t="s">
        <v>56</v>
      </c>
      <c r="E43" s="10"/>
      <c r="F43" s="12" t="s">
        <v>35</v>
      </c>
      <c r="G43" s="12" t="s">
        <v>36</v>
      </c>
      <c r="H43" s="12" t="s">
        <v>56</v>
      </c>
      <c r="I43" s="4"/>
      <c r="J43" s="4"/>
      <c r="K43" s="4"/>
      <c r="L43" s="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s="7" customFormat="1" ht="12.75" customHeight="1">
      <c r="A44" s="8" t="s">
        <v>5</v>
      </c>
      <c r="B44" s="29">
        <v>50</v>
      </c>
      <c r="C44" s="29">
        <f>8/12*100</f>
        <v>66.66666666666666</v>
      </c>
      <c r="D44" s="29">
        <f>10/26*100</f>
        <v>38.46153846153847</v>
      </c>
      <c r="E44" s="14"/>
      <c r="F44" s="29">
        <v>22</v>
      </c>
      <c r="G44" s="29">
        <v>50</v>
      </c>
      <c r="H44" s="29">
        <v>44</v>
      </c>
      <c r="I44" s="4"/>
      <c r="J44" s="4"/>
      <c r="K44" s="4"/>
      <c r="L44" s="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7" customFormat="1" ht="12.75" customHeight="1">
      <c r="A45" s="8" t="s">
        <v>2</v>
      </c>
      <c r="B45" s="29">
        <v>81</v>
      </c>
      <c r="C45" s="29">
        <f>76/100*100</f>
        <v>76</v>
      </c>
      <c r="D45" s="29">
        <f>71/87*100</f>
        <v>81.60919540229885</v>
      </c>
      <c r="E45" s="14"/>
      <c r="F45" s="29">
        <v>85</v>
      </c>
      <c r="G45" s="29">
        <v>79</v>
      </c>
      <c r="H45" s="29">
        <v>84</v>
      </c>
      <c r="I45" s="4"/>
      <c r="J45" s="4"/>
      <c r="K45" s="4"/>
      <c r="L45" s="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s="7" customFormat="1" ht="12.75" customHeight="1">
      <c r="A46" s="40" t="s">
        <v>32</v>
      </c>
      <c r="B46" s="30">
        <v>83</v>
      </c>
      <c r="C46" s="30">
        <f>117/147*100</f>
        <v>79.59183673469387</v>
      </c>
      <c r="D46" s="30">
        <f>91/112*100</f>
        <v>81.25</v>
      </c>
      <c r="E46" s="41"/>
      <c r="F46" s="30">
        <v>71</v>
      </c>
      <c r="G46" s="30">
        <v>79</v>
      </c>
      <c r="H46" s="30">
        <v>78</v>
      </c>
      <c r="I46" s="4"/>
      <c r="J46" s="4"/>
      <c r="K46" s="4"/>
      <c r="L46" s="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s="7" customFormat="1" ht="12.75" customHeight="1">
      <c r="A47" s="8" t="s">
        <v>1</v>
      </c>
      <c r="B47" s="29">
        <v>67</v>
      </c>
      <c r="C47" s="29">
        <f>41/61*100</f>
        <v>67.21311475409836</v>
      </c>
      <c r="D47" s="29">
        <f>38/59*100</f>
        <v>64.40677966101694</v>
      </c>
      <c r="E47" s="14"/>
      <c r="F47" s="29">
        <v>53</v>
      </c>
      <c r="G47" s="29">
        <v>57</v>
      </c>
      <c r="H47" s="29">
        <v>67</v>
      </c>
      <c r="I47" s="4"/>
      <c r="J47" s="4"/>
      <c r="K47" s="4"/>
      <c r="L47" s="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s="7" customFormat="1" ht="12.75" customHeight="1">
      <c r="A48" s="40" t="s">
        <v>41</v>
      </c>
      <c r="B48" s="45" t="s">
        <v>54</v>
      </c>
      <c r="C48" s="30">
        <f>11/13*100</f>
        <v>84.61538461538461</v>
      </c>
      <c r="D48" s="30">
        <f>9/12*100</f>
        <v>75</v>
      </c>
      <c r="E48" s="41"/>
      <c r="F48" s="45" t="s">
        <v>54</v>
      </c>
      <c r="G48" s="30">
        <v>60</v>
      </c>
      <c r="H48" s="30">
        <v>75</v>
      </c>
      <c r="I48" s="4"/>
      <c r="J48" s="4"/>
      <c r="K48" s="4"/>
      <c r="L48" s="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s="7" customFormat="1" ht="12.75" customHeight="1">
      <c r="A49" s="8" t="s">
        <v>3</v>
      </c>
      <c r="B49" s="29">
        <v>74</v>
      </c>
      <c r="C49" s="29">
        <f>100/133*100</f>
        <v>75.18796992481202</v>
      </c>
      <c r="D49" s="29">
        <f>116/174*100</f>
        <v>66.66666666666666</v>
      </c>
      <c r="E49" s="14"/>
      <c r="F49" s="29">
        <v>66</v>
      </c>
      <c r="G49" s="29">
        <v>75</v>
      </c>
      <c r="H49" s="29">
        <v>74</v>
      </c>
      <c r="I49" s="4"/>
      <c r="J49" s="4"/>
      <c r="K49" s="4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s="7" customFormat="1" ht="12.75" customHeight="1">
      <c r="A50" s="7" t="s">
        <v>57</v>
      </c>
      <c r="B50" s="24" t="s">
        <v>54</v>
      </c>
      <c r="C50" s="24" t="s">
        <v>54</v>
      </c>
      <c r="D50" s="7">
        <f>5/5*100</f>
        <v>100</v>
      </c>
      <c r="F50" s="24" t="s">
        <v>54</v>
      </c>
      <c r="G50" s="24" t="s">
        <v>54</v>
      </c>
      <c r="H50" s="7">
        <v>80</v>
      </c>
      <c r="I50" s="4"/>
      <c r="J50" s="4"/>
      <c r="K50" s="4"/>
      <c r="L50" s="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s="7" customFormat="1" ht="12.75" customHeight="1">
      <c r="A51" s="8" t="s">
        <v>33</v>
      </c>
      <c r="B51" s="29">
        <v>84</v>
      </c>
      <c r="C51" s="29">
        <f>103/120*100</f>
        <v>85.83333333333333</v>
      </c>
      <c r="D51" s="29">
        <f>84/105*100</f>
        <v>80</v>
      </c>
      <c r="E51" s="14"/>
      <c r="F51" s="29">
        <v>84</v>
      </c>
      <c r="G51" s="29">
        <v>95</v>
      </c>
      <c r="H51" s="29">
        <v>83</v>
      </c>
      <c r="I51" s="4"/>
      <c r="J51" s="4"/>
      <c r="K51" s="4"/>
      <c r="L51" s="4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s="7" customFormat="1" ht="12.75" customHeight="1">
      <c r="A52" s="8" t="s">
        <v>4</v>
      </c>
      <c r="B52" s="29">
        <v>81</v>
      </c>
      <c r="C52" s="29">
        <f>59/66*100</f>
        <v>89.39393939393939</v>
      </c>
      <c r="D52" s="29">
        <f>65/89*100</f>
        <v>73.03370786516854</v>
      </c>
      <c r="E52" s="14"/>
      <c r="F52" s="29">
        <v>77</v>
      </c>
      <c r="G52" s="29">
        <v>85</v>
      </c>
      <c r="H52" s="29">
        <v>64</v>
      </c>
      <c r="I52" s="4"/>
      <c r="J52" s="4"/>
      <c r="K52" s="4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s="7" customFormat="1" ht="12.75" customHeight="1">
      <c r="A53" s="8" t="s">
        <v>34</v>
      </c>
      <c r="B53" s="29">
        <v>78</v>
      </c>
      <c r="C53" s="29">
        <f>66/90*100</f>
        <v>73.33333333333333</v>
      </c>
      <c r="D53" s="29">
        <f>94/109*100</f>
        <v>86.23853211009175</v>
      </c>
      <c r="E53" s="14"/>
      <c r="F53" s="29">
        <v>66</v>
      </c>
      <c r="G53" s="29">
        <v>75</v>
      </c>
      <c r="H53" s="29">
        <v>86</v>
      </c>
      <c r="I53" s="4"/>
      <c r="J53" s="4"/>
      <c r="K53" s="4"/>
      <c r="L53" s="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s="7" customFormat="1" ht="12.75" customHeight="1">
      <c r="A54" s="2" t="s">
        <v>31</v>
      </c>
      <c r="B54" s="32">
        <f>SUM(B44:B53)/8</f>
        <v>74.75</v>
      </c>
      <c r="C54" s="33">
        <v>78</v>
      </c>
      <c r="D54" s="33">
        <v>75</v>
      </c>
      <c r="E54" s="15"/>
      <c r="F54" s="33">
        <f>SUM(F44:F53)/8</f>
        <v>65.5</v>
      </c>
      <c r="G54" s="33">
        <v>78</v>
      </c>
      <c r="H54" s="33">
        <v>76</v>
      </c>
      <c r="I54" s="4"/>
      <c r="J54" s="4"/>
      <c r="K54" s="4"/>
      <c r="L54" s="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s="7" customFormat="1" ht="12.75" customHeight="1">
      <c r="A55" s="3"/>
      <c r="B55" s="4"/>
      <c r="C55" s="5"/>
      <c r="D55" s="5"/>
      <c r="E55" s="4"/>
      <c r="F55" s="4"/>
      <c r="G55" s="4"/>
      <c r="H55" s="4"/>
      <c r="I55" s="4"/>
      <c r="J55" s="4"/>
      <c r="K55" s="4"/>
      <c r="L55" s="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s="7" customFormat="1" ht="12.75" customHeight="1">
      <c r="A56" s="3"/>
      <c r="B56" s="4"/>
      <c r="C56" s="5"/>
      <c r="D56" s="5"/>
      <c r="E56" s="4"/>
      <c r="F56" s="4"/>
      <c r="G56" s="4"/>
      <c r="H56" s="4"/>
      <c r="I56" s="4"/>
      <c r="J56" s="4"/>
      <c r="K56" s="4"/>
      <c r="L56" s="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s="7" customFormat="1" ht="12.75" customHeight="1">
      <c r="A57" s="3"/>
      <c r="B57" s="4"/>
      <c r="C57" s="5"/>
      <c r="D57" s="5"/>
      <c r="E57" s="4"/>
      <c r="F57" s="4"/>
      <c r="G57" s="4"/>
      <c r="H57" s="4"/>
      <c r="I57" s="4"/>
      <c r="J57" s="4"/>
      <c r="K57" s="4"/>
      <c r="L57" s="4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s="7" customFormat="1" ht="12.75" customHeight="1">
      <c r="A58" s="3"/>
      <c r="B58" s="4"/>
      <c r="C58" s="5"/>
      <c r="D58" s="5"/>
      <c r="E58" s="4"/>
      <c r="F58" s="4"/>
      <c r="G58" s="4"/>
      <c r="H58" s="4"/>
      <c r="I58" s="4"/>
      <c r="J58" s="4"/>
      <c r="K58" s="4"/>
      <c r="L58" s="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s="7" customFormat="1" ht="20.25">
      <c r="A59" s="3" t="s">
        <v>55</v>
      </c>
      <c r="B59" s="4"/>
      <c r="C59" s="5"/>
      <c r="D59" s="5"/>
      <c r="E59" s="4"/>
      <c r="F59" s="4"/>
      <c r="G59" s="4"/>
      <c r="H59" s="4"/>
      <c r="I59" s="4"/>
      <c r="J59" s="4"/>
      <c r="K59" s="4"/>
      <c r="L59" s="4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s="7" customFormat="1" ht="12.75" customHeight="1">
      <c r="A60" s="3"/>
      <c r="B60" s="4"/>
      <c r="C60" s="5"/>
      <c r="D60" s="5"/>
      <c r="E60" s="4"/>
      <c r="F60" s="4"/>
      <c r="G60" s="4"/>
      <c r="H60" s="4"/>
      <c r="I60" s="4"/>
      <c r="J60" s="4"/>
      <c r="K60" s="4"/>
      <c r="L60" s="4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s="7" customFormat="1" ht="12" customHeight="1">
      <c r="A61" s="18" t="s">
        <v>42</v>
      </c>
      <c r="B61" s="19"/>
      <c r="C61" s="20"/>
      <c r="D61" s="20"/>
      <c r="E61" s="19"/>
      <c r="F61" s="19"/>
      <c r="G61" s="19"/>
      <c r="H61" s="19"/>
      <c r="I61" s="19"/>
      <c r="J61" s="19"/>
      <c r="K61" s="19"/>
      <c r="L61" s="1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s="7" customFormat="1" ht="12" customHeight="1">
      <c r="A62" s="3"/>
      <c r="B62" s="4"/>
      <c r="C62" s="5"/>
      <c r="D62" s="5"/>
      <c r="E62" s="4"/>
      <c r="F62" s="4"/>
      <c r="G62" s="4"/>
      <c r="H62" s="4"/>
      <c r="I62" s="4"/>
      <c r="J62" s="4"/>
      <c r="K62" s="4"/>
      <c r="L62" s="4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s="7" customFormat="1" ht="20.25">
      <c r="A63" s="3"/>
      <c r="B63" s="52" t="s">
        <v>27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s="7" customFormat="1" ht="12" customHeight="1">
      <c r="A64" s="8"/>
      <c r="B64" s="53" t="s">
        <v>53</v>
      </c>
      <c r="C64" s="53"/>
      <c r="D64" s="53"/>
      <c r="E64" s="16"/>
      <c r="F64" s="53" t="s">
        <v>52</v>
      </c>
      <c r="G64" s="53"/>
      <c r="H64" s="53"/>
      <c r="I64" s="16"/>
      <c r="J64" s="53" t="s">
        <v>51</v>
      </c>
      <c r="K64" s="53"/>
      <c r="L64" s="53"/>
      <c r="M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s="7" customFormat="1" ht="12" customHeight="1">
      <c r="A65" s="9"/>
      <c r="B65" s="12" t="s">
        <v>35</v>
      </c>
      <c r="C65" s="12" t="s">
        <v>36</v>
      </c>
      <c r="D65" s="12" t="s">
        <v>56</v>
      </c>
      <c r="E65" s="17"/>
      <c r="F65" s="12" t="s">
        <v>35</v>
      </c>
      <c r="G65" s="12" t="s">
        <v>36</v>
      </c>
      <c r="H65" s="12" t="s">
        <v>56</v>
      </c>
      <c r="I65" s="17"/>
      <c r="J65" s="12" t="s">
        <v>35</v>
      </c>
      <c r="K65" s="12" t="s">
        <v>36</v>
      </c>
      <c r="L65" s="12" t="s">
        <v>56</v>
      </c>
      <c r="M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s="7" customFormat="1" ht="12.75">
      <c r="A66" s="7" t="s">
        <v>43</v>
      </c>
      <c r="B66" s="38">
        <v>34.4</v>
      </c>
      <c r="C66" s="38">
        <v>35.1</v>
      </c>
      <c r="D66" s="38">
        <v>35</v>
      </c>
      <c r="E66" s="38"/>
      <c r="F66" s="38">
        <v>20.5</v>
      </c>
      <c r="G66" s="38">
        <v>20.6</v>
      </c>
      <c r="H66" s="38">
        <v>21.3</v>
      </c>
      <c r="I66" s="38"/>
      <c r="J66" s="38"/>
      <c r="K66" s="38">
        <v>63</v>
      </c>
      <c r="L66" s="38"/>
      <c r="M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s="7" customFormat="1" ht="12.75">
      <c r="A67" s="7" t="s">
        <v>44</v>
      </c>
      <c r="B67" s="38">
        <v>34</v>
      </c>
      <c r="C67" s="38">
        <v>34.4</v>
      </c>
      <c r="D67" s="38">
        <v>34.3</v>
      </c>
      <c r="E67" s="38"/>
      <c r="F67" s="38">
        <v>20.8</v>
      </c>
      <c r="G67" s="38">
        <v>20.5</v>
      </c>
      <c r="H67" s="38">
        <v>20.6</v>
      </c>
      <c r="I67" s="38"/>
      <c r="J67" s="38"/>
      <c r="K67" s="38">
        <v>58</v>
      </c>
      <c r="L67" s="38"/>
      <c r="M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s="7" customFormat="1" ht="12.75">
      <c r="A68" s="7" t="s">
        <v>45</v>
      </c>
      <c r="B68" s="38">
        <v>33.9</v>
      </c>
      <c r="C68" s="38">
        <v>35.4</v>
      </c>
      <c r="D68" s="38">
        <v>34.6</v>
      </c>
      <c r="E68" s="38"/>
      <c r="F68" s="38">
        <v>20.4</v>
      </c>
      <c r="G68" s="38">
        <v>20.6</v>
      </c>
      <c r="H68" s="38">
        <v>20.4</v>
      </c>
      <c r="I68" s="38"/>
      <c r="J68" s="38"/>
      <c r="K68" s="38">
        <v>59</v>
      </c>
      <c r="L68" s="38"/>
      <c r="M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s="7" customFormat="1" ht="12.75">
      <c r="A69" s="7" t="s">
        <v>49</v>
      </c>
      <c r="B69" s="39" t="s">
        <v>54</v>
      </c>
      <c r="C69" s="38">
        <v>33.4</v>
      </c>
      <c r="D69" s="38">
        <v>33.3</v>
      </c>
      <c r="E69" s="38"/>
      <c r="F69" s="39" t="s">
        <v>54</v>
      </c>
      <c r="G69" s="38">
        <v>18.9</v>
      </c>
      <c r="H69" s="38">
        <v>19.7</v>
      </c>
      <c r="I69" s="38"/>
      <c r="J69" s="39" t="s">
        <v>54</v>
      </c>
      <c r="K69" s="39" t="s">
        <v>54</v>
      </c>
      <c r="L69" s="39"/>
      <c r="M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7" customFormat="1" ht="12.75">
      <c r="A70" s="7" t="s">
        <v>50</v>
      </c>
      <c r="B70" s="38">
        <v>34</v>
      </c>
      <c r="C70" s="38">
        <v>35.6</v>
      </c>
      <c r="D70" s="38">
        <v>34</v>
      </c>
      <c r="E70" s="38"/>
      <c r="F70" s="38">
        <v>20.7</v>
      </c>
      <c r="G70" s="38">
        <v>20.2</v>
      </c>
      <c r="H70" s="38">
        <v>19.7</v>
      </c>
      <c r="I70" s="38"/>
      <c r="J70" s="38"/>
      <c r="K70" s="38">
        <v>53</v>
      </c>
      <c r="L70" s="38"/>
      <c r="M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s="7" customFormat="1" ht="12.75">
      <c r="A71" s="7" t="s">
        <v>58</v>
      </c>
      <c r="B71" s="38">
        <v>35.7</v>
      </c>
      <c r="C71" s="38">
        <v>35.7</v>
      </c>
      <c r="D71" s="38">
        <v>35.7</v>
      </c>
      <c r="E71" s="38"/>
      <c r="F71" s="38">
        <v>20.5</v>
      </c>
      <c r="G71" s="38">
        <v>20.5</v>
      </c>
      <c r="H71" s="38">
        <v>20.5</v>
      </c>
      <c r="I71" s="38"/>
      <c r="J71" s="39" t="s">
        <v>54</v>
      </c>
      <c r="K71" s="39" t="s">
        <v>54</v>
      </c>
      <c r="L71" s="39"/>
      <c r="M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.75">
      <c r="A72" s="7" t="s">
        <v>47</v>
      </c>
      <c r="B72" s="38">
        <v>33.4</v>
      </c>
      <c r="C72" s="38">
        <v>33.4</v>
      </c>
      <c r="D72" s="38">
        <v>33.4</v>
      </c>
      <c r="E72" s="38"/>
      <c r="F72" s="38">
        <v>20</v>
      </c>
      <c r="G72" s="38">
        <v>20</v>
      </c>
      <c r="H72" s="38">
        <v>20</v>
      </c>
      <c r="I72" s="38"/>
      <c r="J72" s="39" t="s">
        <v>54</v>
      </c>
      <c r="K72" s="39" t="s">
        <v>54</v>
      </c>
      <c r="L72" s="39"/>
      <c r="M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22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7" customFormat="1" ht="12.75">
      <c r="A74" s="22" t="s">
        <v>48</v>
      </c>
      <c r="B74" s="23">
        <v>40</v>
      </c>
      <c r="C74" s="23">
        <v>40</v>
      </c>
      <c r="D74" s="23">
        <v>40</v>
      </c>
      <c r="E74" s="23"/>
      <c r="F74" s="23">
        <v>26</v>
      </c>
      <c r="G74" s="23">
        <v>26</v>
      </c>
      <c r="H74" s="23">
        <v>26</v>
      </c>
      <c r="I74" s="23">
        <v>26</v>
      </c>
      <c r="J74" s="23">
        <v>100</v>
      </c>
      <c r="K74" s="23">
        <v>100</v>
      </c>
      <c r="L74" s="23">
        <v>100</v>
      </c>
      <c r="M74" s="23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s="7" customFormat="1" ht="12.75">
      <c r="B75" s="8"/>
      <c r="C75" s="11"/>
      <c r="D75" s="1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s="7" customFormat="1" ht="12.75">
      <c r="B76" s="8"/>
      <c r="C76" s="11"/>
      <c r="D76" s="1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s="7" customFormat="1" ht="15.75">
      <c r="A77" s="4"/>
      <c r="B77" s="52" t="s">
        <v>30</v>
      </c>
      <c r="C77" s="52"/>
      <c r="D77" s="52"/>
      <c r="E77" s="52"/>
      <c r="F77" s="52"/>
      <c r="G77" s="52"/>
      <c r="H77" s="52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s="7" customFormat="1" ht="12.75">
      <c r="A78" s="8"/>
      <c r="B78" s="53" t="s">
        <v>52</v>
      </c>
      <c r="C78" s="53"/>
      <c r="D78" s="53"/>
      <c r="E78" s="16"/>
      <c r="F78" s="53" t="s">
        <v>51</v>
      </c>
      <c r="G78" s="53"/>
      <c r="H78" s="5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s="7" customFormat="1" ht="12.75">
      <c r="A79" s="9"/>
      <c r="B79" s="12" t="s">
        <v>35</v>
      </c>
      <c r="C79" s="12" t="s">
        <v>36</v>
      </c>
      <c r="D79" s="12" t="s">
        <v>56</v>
      </c>
      <c r="E79" s="10"/>
      <c r="F79" s="12" t="s">
        <v>35</v>
      </c>
      <c r="G79" s="12" t="s">
        <v>36</v>
      </c>
      <c r="H79" s="12" t="s">
        <v>56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.75">
      <c r="A80" s="8" t="s">
        <v>43</v>
      </c>
      <c r="B80" s="38">
        <v>29</v>
      </c>
      <c r="C80" s="38">
        <v>30.7</v>
      </c>
      <c r="D80" s="38">
        <v>30.2</v>
      </c>
      <c r="E80" s="8"/>
      <c r="F80" s="8"/>
      <c r="G80" s="8">
        <v>78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.75">
      <c r="A81" s="8" t="s">
        <v>44</v>
      </c>
      <c r="B81" s="38">
        <v>30.8</v>
      </c>
      <c r="C81" s="38">
        <v>29.7</v>
      </c>
      <c r="D81" s="38">
        <v>28.6</v>
      </c>
      <c r="E81" s="8"/>
      <c r="F81" s="8"/>
      <c r="G81" s="8">
        <v>76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.75">
      <c r="A82" s="8" t="s">
        <v>45</v>
      </c>
      <c r="B82" s="38">
        <v>30.7</v>
      </c>
      <c r="C82" s="38">
        <v>31</v>
      </c>
      <c r="D82" s="38">
        <v>29.7</v>
      </c>
      <c r="E82" s="8"/>
      <c r="F82" s="8"/>
      <c r="G82" s="8">
        <v>73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s="7" customFormat="1" ht="12.75">
      <c r="A83" s="8" t="s">
        <v>49</v>
      </c>
      <c r="B83" s="39" t="s">
        <v>54</v>
      </c>
      <c r="C83" s="39" t="s">
        <v>54</v>
      </c>
      <c r="D83" s="39" t="s">
        <v>54</v>
      </c>
      <c r="E83" s="8"/>
      <c r="F83" s="24" t="s">
        <v>54</v>
      </c>
      <c r="G83" s="24" t="s">
        <v>54</v>
      </c>
      <c r="H83" s="24" t="s">
        <v>54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s="7" customFormat="1" ht="12.75">
      <c r="A84" s="8" t="s">
        <v>50</v>
      </c>
      <c r="B84" s="38">
        <v>30.4</v>
      </c>
      <c r="C84" s="38">
        <v>30</v>
      </c>
      <c r="D84" s="38">
        <v>28.8</v>
      </c>
      <c r="E84" s="8"/>
      <c r="F84" s="8"/>
      <c r="G84" s="8">
        <v>67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s="7" customFormat="1" ht="12.75">
      <c r="A85" s="8" t="s">
        <v>46</v>
      </c>
      <c r="B85" s="38">
        <v>30.5</v>
      </c>
      <c r="C85" s="38">
        <v>30.5</v>
      </c>
      <c r="D85" s="38">
        <v>30.5</v>
      </c>
      <c r="E85" s="8"/>
      <c r="F85" s="24" t="s">
        <v>54</v>
      </c>
      <c r="G85" s="24" t="s">
        <v>54</v>
      </c>
      <c r="H85" s="24" t="s">
        <v>54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s="7" customFormat="1" ht="12.75">
      <c r="A86" s="8" t="s">
        <v>47</v>
      </c>
      <c r="B86" s="38">
        <v>29.9</v>
      </c>
      <c r="C86" s="38">
        <v>29.9</v>
      </c>
      <c r="D86" s="38">
        <v>29.9</v>
      </c>
      <c r="E86" s="8"/>
      <c r="F86" s="24" t="s">
        <v>54</v>
      </c>
      <c r="G86" s="24" t="s">
        <v>54</v>
      </c>
      <c r="H86" s="24" t="s">
        <v>54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s="7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7" customFormat="1" ht="12.75">
      <c r="A88" s="23" t="s">
        <v>48</v>
      </c>
      <c r="B88" s="23">
        <v>40</v>
      </c>
      <c r="C88" s="23">
        <v>40</v>
      </c>
      <c r="D88" s="23">
        <v>40</v>
      </c>
      <c r="E88" s="23"/>
      <c r="F88" s="23">
        <v>100</v>
      </c>
      <c r="G88" s="23">
        <v>100</v>
      </c>
      <c r="H88" s="23">
        <v>100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s="7" customFormat="1" ht="12.75">
      <c r="B89" s="8"/>
      <c r="C89" s="11"/>
      <c r="D89" s="1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s="7" customFormat="1" ht="12.75">
      <c r="B90" s="8"/>
      <c r="C90" s="11"/>
      <c r="D90" s="1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s="7" customFormat="1" ht="12.75">
      <c r="B91" s="8"/>
      <c r="C91" s="11"/>
      <c r="D91" s="1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s="7" customFormat="1" ht="14.25" customHeight="1">
      <c r="B92" s="8"/>
      <c r="C92" s="11"/>
      <c r="D92" s="1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s="7" customFormat="1" ht="14.25" customHeight="1">
      <c r="B93" s="8"/>
      <c r="C93" s="11"/>
      <c r="D93" s="1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s="7" customFormat="1" ht="14.25" customHeight="1">
      <c r="B94" s="8"/>
      <c r="C94" s="11"/>
      <c r="D94" s="1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s="7" customFormat="1" ht="14.25" customHeight="1">
      <c r="B95" s="8"/>
      <c r="C95" s="11"/>
      <c r="D95" s="1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s="7" customFormat="1" ht="14.25" customHeight="1">
      <c r="B96" s="8"/>
      <c r="C96" s="11"/>
      <c r="D96" s="1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s="7" customFormat="1" ht="14.25" customHeight="1">
      <c r="B97" s="8"/>
      <c r="C97" s="11"/>
      <c r="D97" s="1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s="7" customFormat="1" ht="14.25" customHeight="1">
      <c r="B98" s="8"/>
      <c r="C98" s="11"/>
      <c r="D98" s="1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s="7" customFormat="1" ht="14.25" customHeight="1">
      <c r="B99" s="8"/>
      <c r="C99" s="11"/>
      <c r="D99" s="1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s="7" customFormat="1" ht="14.25" customHeight="1">
      <c r="B100" s="8"/>
      <c r="C100" s="11"/>
      <c r="D100" s="1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s="7" customFormat="1" ht="14.25" customHeight="1">
      <c r="B101" s="8"/>
      <c r="C101" s="11"/>
      <c r="D101" s="1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s="7" customFormat="1" ht="14.25" customHeight="1">
      <c r="B102" s="8"/>
      <c r="C102" s="11"/>
      <c r="D102" s="1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s="7" customFormat="1" ht="14.25" customHeight="1">
      <c r="B103" s="8"/>
      <c r="C103" s="11"/>
      <c r="D103" s="1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s="7" customFormat="1" ht="14.25" customHeight="1">
      <c r="B104" s="8"/>
      <c r="C104" s="11"/>
      <c r="D104" s="1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s="7" customFormat="1" ht="14.25" customHeight="1">
      <c r="B105" s="8"/>
      <c r="C105" s="11"/>
      <c r="D105" s="1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s="7" customFormat="1" ht="14.25" customHeight="1">
      <c r="B106" s="8"/>
      <c r="C106" s="11"/>
      <c r="D106" s="1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s="7" customFormat="1" ht="14.25" customHeight="1">
      <c r="B107" s="8"/>
      <c r="C107" s="11"/>
      <c r="D107" s="1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s="7" customFormat="1" ht="14.25" customHeight="1">
      <c r="B108" s="8"/>
      <c r="C108" s="11"/>
      <c r="D108" s="1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s="7" customFormat="1" ht="14.25" customHeight="1">
      <c r="B109" s="8"/>
      <c r="C109" s="11"/>
      <c r="D109" s="1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s="7" customFormat="1" ht="14.25" customHeight="1">
      <c r="B110" s="8"/>
      <c r="C110" s="11"/>
      <c r="D110" s="1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s="7" customFormat="1" ht="14.25" customHeight="1">
      <c r="B111" s="8"/>
      <c r="C111" s="11"/>
      <c r="D111" s="1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s="7" customFormat="1" ht="12.75">
      <c r="B112" s="8"/>
      <c r="C112" s="11"/>
      <c r="D112" s="1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s="7" customFormat="1" ht="12.75">
      <c r="B113" s="8"/>
      <c r="C113" s="11"/>
      <c r="D113" s="1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s="7" customFormat="1" ht="12.75">
      <c r="B114" s="8"/>
      <c r="C114" s="11"/>
      <c r="D114" s="1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s="7" customFormat="1" ht="12.75">
      <c r="B115" s="8"/>
      <c r="C115" s="11"/>
      <c r="D115" s="1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s="7" customFormat="1" ht="12.75">
      <c r="B116" s="8"/>
      <c r="C116" s="11"/>
      <c r="D116" s="1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s="7" customFormat="1" ht="12.75">
      <c r="B117" s="8"/>
      <c r="C117" s="11"/>
      <c r="D117" s="1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s="7" customFormat="1" ht="12.75">
      <c r="B118" s="8"/>
      <c r="C118" s="11"/>
      <c r="D118" s="1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s="7" customFormat="1" ht="12.75">
      <c r="B119" s="8"/>
      <c r="C119" s="11"/>
      <c r="D119" s="1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s="7" customFormat="1" ht="12.75">
      <c r="B120" s="8"/>
      <c r="C120" s="11"/>
      <c r="D120" s="1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s="7" customFormat="1" ht="12.75">
      <c r="B121" s="8"/>
      <c r="C121" s="11"/>
      <c r="D121" s="1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s="7" customFormat="1" ht="12.75">
      <c r="B122" s="8"/>
      <c r="C122" s="11"/>
      <c r="D122" s="1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s="7" customFormat="1" ht="12.75">
      <c r="B123" s="8"/>
      <c r="C123" s="11"/>
      <c r="D123" s="1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s="7" customFormat="1" ht="12.75">
      <c r="B124" s="8"/>
      <c r="C124" s="11"/>
      <c r="D124" s="1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s="7" customFormat="1" ht="12.75">
      <c r="B125" s="8"/>
      <c r="C125" s="11"/>
      <c r="D125" s="1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s="7" customFormat="1" ht="12.75">
      <c r="B126" s="8"/>
      <c r="C126" s="11"/>
      <c r="D126" s="1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s="7" customFormat="1" ht="12.75">
      <c r="B127" s="8"/>
      <c r="C127" s="11"/>
      <c r="D127" s="1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s="7" customFormat="1" ht="12.75">
      <c r="B128" s="8"/>
      <c r="C128" s="11"/>
      <c r="D128" s="1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s="7" customFormat="1" ht="12.75">
      <c r="B129" s="8"/>
      <c r="C129" s="11"/>
      <c r="D129" s="1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s="7" customFormat="1" ht="12.75">
      <c r="B130" s="8"/>
      <c r="C130" s="11"/>
      <c r="D130" s="1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s="7" customFormat="1" ht="12.75">
      <c r="B131" s="8"/>
      <c r="C131" s="11"/>
      <c r="D131" s="1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s="7" customFormat="1" ht="12.75">
      <c r="B132" s="8"/>
      <c r="C132" s="11"/>
      <c r="D132" s="1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s="7" customFormat="1" ht="12.75">
      <c r="B133" s="8"/>
      <c r="C133" s="11"/>
      <c r="D133" s="1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s="7" customFormat="1" ht="12.75">
      <c r="B134" s="8"/>
      <c r="C134" s="11"/>
      <c r="D134" s="1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s="7" customFormat="1" ht="12.75">
      <c r="B135" s="8"/>
      <c r="C135" s="11"/>
      <c r="D135" s="1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s="7" customFormat="1" ht="12.75">
      <c r="B136" s="8"/>
      <c r="C136" s="11"/>
      <c r="D136" s="1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s="7" customFormat="1" ht="12.75">
      <c r="B137" s="8"/>
      <c r="C137" s="11"/>
      <c r="D137" s="1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s="7" customFormat="1" ht="12.75">
      <c r="B138" s="8"/>
      <c r="C138" s="11"/>
      <c r="D138" s="1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s="7" customFormat="1" ht="12.75">
      <c r="B139" s="8"/>
      <c r="C139" s="11"/>
      <c r="D139" s="1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s="7" customFormat="1" ht="12.75">
      <c r="B140" s="8"/>
      <c r="C140" s="11"/>
      <c r="D140" s="1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s="7" customFormat="1" ht="12.75">
      <c r="B141" s="8"/>
      <c r="C141" s="11"/>
      <c r="D141" s="1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s="7" customFormat="1" ht="12.75">
      <c r="B142" s="8"/>
      <c r="C142" s="11"/>
      <c r="D142" s="1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s="7" customFormat="1" ht="12.75">
      <c r="B143" s="8"/>
      <c r="C143" s="11"/>
      <c r="D143" s="1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s="7" customFormat="1" ht="12.75">
      <c r="B144" s="8"/>
      <c r="C144" s="11"/>
      <c r="D144" s="1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s="7" customFormat="1" ht="12.75">
      <c r="B145" s="8"/>
      <c r="C145" s="11"/>
      <c r="D145" s="1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s="7" customFormat="1" ht="12.75">
      <c r="B146" s="8"/>
      <c r="C146" s="11"/>
      <c r="D146" s="1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s="7" customFormat="1" ht="12.75">
      <c r="B147" s="8"/>
      <c r="C147" s="11"/>
      <c r="D147" s="1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s="7" customFormat="1" ht="12.75">
      <c r="B148" s="8"/>
      <c r="C148" s="11"/>
      <c r="D148" s="1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2:39" s="7" customFormat="1" ht="12.75">
      <c r="B149" s="8"/>
      <c r="C149" s="11"/>
      <c r="D149" s="1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2:39" s="7" customFormat="1" ht="12.75">
      <c r="B150" s="8"/>
      <c r="C150" s="11"/>
      <c r="D150" s="1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2:39" s="7" customFormat="1" ht="12.75">
      <c r="B151" s="8"/>
      <c r="C151" s="11"/>
      <c r="D151" s="1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2:39" s="7" customFormat="1" ht="12.75">
      <c r="B152" s="8"/>
      <c r="C152" s="11"/>
      <c r="D152" s="1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</sheetData>
  <mergeCells count="14">
    <mergeCell ref="J64:L64"/>
    <mergeCell ref="B78:D78"/>
    <mergeCell ref="F78:H78"/>
    <mergeCell ref="B63:L63"/>
    <mergeCell ref="B41:H41"/>
    <mergeCell ref="B4:L4"/>
    <mergeCell ref="B77:H77"/>
    <mergeCell ref="B5:D5"/>
    <mergeCell ref="F5:H5"/>
    <mergeCell ref="J5:L5"/>
    <mergeCell ref="B42:D42"/>
    <mergeCell ref="F42:H42"/>
    <mergeCell ref="B64:D64"/>
    <mergeCell ref="F64:H64"/>
  </mergeCells>
  <printOptions/>
  <pageMargins left="0.7874015748031497" right="0" top="1.1811023622047245" bottom="0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workbookViewId="0" topLeftCell="A31">
      <selection activeCell="A31" sqref="A31"/>
    </sheetView>
  </sheetViews>
  <sheetFormatPr defaultColWidth="9.00390625" defaultRowHeight="15.75"/>
  <cols>
    <col min="1" max="1" width="19.125" style="6" customWidth="1"/>
    <col min="2" max="2" width="6.875" style="46" bestFit="1" customWidth="1"/>
    <col min="3" max="3" width="0.875" style="4" customWidth="1"/>
    <col min="4" max="4" width="7.875" style="4" bestFit="1" customWidth="1"/>
    <col min="5" max="5" width="0.875" style="4" customWidth="1"/>
    <col min="6" max="6" width="6.50390625" style="4" customWidth="1"/>
    <col min="7" max="7" width="3.50390625" style="4" customWidth="1"/>
    <col min="8" max="8" width="6.875" style="46" bestFit="1" customWidth="1"/>
    <col min="9" max="9" width="0.875" style="4" customWidth="1"/>
    <col min="10" max="10" width="7.875" style="4" bestFit="1" customWidth="1"/>
    <col min="11" max="11" width="0.875" style="4" customWidth="1"/>
    <col min="12" max="12" width="7.00390625" style="4" customWidth="1"/>
    <col min="13" max="13" width="6.25390625" style="4" customWidth="1"/>
    <col min="14" max="14" width="6.50390625" style="4" customWidth="1"/>
    <col min="15" max="15" width="6.50390625" style="4" bestFit="1" customWidth="1"/>
    <col min="16" max="18" width="8.625" style="4" customWidth="1"/>
    <col min="19" max="33" width="9.00390625" style="4" customWidth="1"/>
    <col min="34" max="16384" width="9.00390625" style="6" customWidth="1"/>
  </cols>
  <sheetData>
    <row r="1" ht="20.25">
      <c r="A1" s="3" t="s">
        <v>59</v>
      </c>
    </row>
    <row r="2" spans="1:33" s="21" customFormat="1" ht="12.75">
      <c r="A2" s="18"/>
      <c r="B2" s="20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ht="6.75" customHeight="1">
      <c r="A3" s="3"/>
    </row>
    <row r="4" spans="1:12" s="49" customFormat="1" ht="39" customHeight="1">
      <c r="A4" s="48"/>
      <c r="B4" s="54" t="s">
        <v>39</v>
      </c>
      <c r="C4" s="54"/>
      <c r="D4" s="54"/>
      <c r="E4" s="54"/>
      <c r="F4" s="54"/>
      <c r="H4" s="54" t="s">
        <v>60</v>
      </c>
      <c r="I4" s="54"/>
      <c r="J4" s="54"/>
      <c r="K4" s="54"/>
      <c r="L4" s="54"/>
    </row>
    <row r="5" spans="2:12" s="8" customFormat="1" ht="15.75">
      <c r="B5" s="26" t="s">
        <v>28</v>
      </c>
      <c r="C5" s="16"/>
      <c r="D5" s="26" t="s">
        <v>29</v>
      </c>
      <c r="E5" s="16"/>
      <c r="F5" s="26" t="s">
        <v>0</v>
      </c>
      <c r="G5" s="4"/>
      <c r="H5" s="26" t="s">
        <v>28</v>
      </c>
      <c r="I5" s="16"/>
      <c r="J5" s="26" t="s">
        <v>29</v>
      </c>
      <c r="K5" s="16"/>
      <c r="L5" s="26" t="s">
        <v>0</v>
      </c>
    </row>
    <row r="6" spans="1:12" s="9" customFormat="1" ht="15.75">
      <c r="A6" s="47" t="s">
        <v>27</v>
      </c>
      <c r="B6" s="12" t="s">
        <v>56</v>
      </c>
      <c r="C6" s="17"/>
      <c r="D6" s="12" t="s">
        <v>56</v>
      </c>
      <c r="E6" s="17"/>
      <c r="F6" s="12" t="s">
        <v>56</v>
      </c>
      <c r="G6" s="4"/>
      <c r="H6" s="12" t="s">
        <v>56</v>
      </c>
      <c r="I6" s="17"/>
      <c r="J6" s="12" t="s">
        <v>56</v>
      </c>
      <c r="K6" s="17"/>
      <c r="L6" s="12" t="s">
        <v>56</v>
      </c>
    </row>
    <row r="7" spans="1:33" s="7" customFormat="1" ht="12.75" customHeight="1">
      <c r="A7" s="7" t="s">
        <v>5</v>
      </c>
      <c r="B7" s="8">
        <f>23/29*100</f>
        <v>79.3103448275862</v>
      </c>
      <c r="C7" s="28"/>
      <c r="D7" s="28">
        <f>21/29*100</f>
        <v>72.41379310344827</v>
      </c>
      <c r="E7" s="8"/>
      <c r="F7" s="29">
        <v>44</v>
      </c>
      <c r="G7" s="8"/>
      <c r="H7" s="8">
        <f>29/33*100</f>
        <v>87.87878787878788</v>
      </c>
      <c r="I7" s="28"/>
      <c r="J7" s="28">
        <f>29/33*100</f>
        <v>87.87878787878788</v>
      </c>
      <c r="K7" s="8"/>
      <c r="L7" s="2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7" customFormat="1" ht="12.75" customHeight="1">
      <c r="A8" s="7" t="s">
        <v>6</v>
      </c>
      <c r="B8" s="8">
        <f>9/11*100</f>
        <v>81.81818181818183</v>
      </c>
      <c r="C8" s="28"/>
      <c r="D8" s="28">
        <f>7/11*100</f>
        <v>63.63636363636363</v>
      </c>
      <c r="E8" s="8"/>
      <c r="F8" s="29">
        <v>58</v>
      </c>
      <c r="G8" s="8"/>
      <c r="H8" s="8">
        <f>11/13*100</f>
        <v>84.61538461538461</v>
      </c>
      <c r="I8" s="28"/>
      <c r="J8" s="28">
        <f>11/13*100</f>
        <v>84.61538461538461</v>
      </c>
      <c r="K8" s="8"/>
      <c r="L8" s="2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7" customFormat="1" ht="12.75" customHeight="1">
      <c r="A9" s="7" t="s">
        <v>2</v>
      </c>
      <c r="B9" s="8">
        <f>49/58*100</f>
        <v>84.48275862068965</v>
      </c>
      <c r="C9" s="28"/>
      <c r="D9" s="28">
        <f>51/58*100</f>
        <v>87.93103448275862</v>
      </c>
      <c r="E9" s="8"/>
      <c r="F9" s="29">
        <v>85</v>
      </c>
      <c r="G9" s="8"/>
      <c r="H9" s="8">
        <f>58/70*100</f>
        <v>82.85714285714286</v>
      </c>
      <c r="I9" s="28"/>
      <c r="J9" s="28">
        <f>58/70*100</f>
        <v>82.85714285714286</v>
      </c>
      <c r="K9" s="8"/>
      <c r="L9" s="2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7" customFormat="1" ht="12.75" customHeight="1">
      <c r="A10" s="7" t="s">
        <v>7</v>
      </c>
      <c r="B10" s="8">
        <f>55/70*100</f>
        <v>78.57142857142857</v>
      </c>
      <c r="C10" s="28"/>
      <c r="D10" s="28">
        <f>59/70*100</f>
        <v>84.28571428571429</v>
      </c>
      <c r="E10" s="8"/>
      <c r="F10" s="29">
        <v>58</v>
      </c>
      <c r="G10" s="8"/>
      <c r="H10" s="8">
        <f>70/72*100</f>
        <v>97.22222222222221</v>
      </c>
      <c r="I10" s="28"/>
      <c r="J10" s="28">
        <f>70/72*100</f>
        <v>97.22222222222221</v>
      </c>
      <c r="K10" s="8"/>
      <c r="L10" s="2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7" customFormat="1" ht="12.75" customHeight="1">
      <c r="A11" s="7" t="s">
        <v>8</v>
      </c>
      <c r="B11" s="8">
        <f>3/3*100</f>
        <v>100</v>
      </c>
      <c r="C11" s="28"/>
      <c r="D11" s="28">
        <f>2/3*100</f>
        <v>66.66666666666666</v>
      </c>
      <c r="E11" s="8"/>
      <c r="F11" s="30">
        <v>67</v>
      </c>
      <c r="G11" s="31"/>
      <c r="H11" s="28">
        <f>3/3*100</f>
        <v>100</v>
      </c>
      <c r="I11" s="28"/>
      <c r="J11" s="28">
        <f>3/3*100</f>
        <v>100</v>
      </c>
      <c r="K11" s="8"/>
      <c r="L11" s="3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7" customFormat="1" ht="12.75" customHeight="1">
      <c r="A12" s="7" t="s">
        <v>9</v>
      </c>
      <c r="B12" s="8">
        <f>33/51*100</f>
        <v>64.70588235294117</v>
      </c>
      <c r="C12" s="28"/>
      <c r="D12" s="28">
        <f>39/51*100</f>
        <v>76.47058823529412</v>
      </c>
      <c r="E12" s="8"/>
      <c r="F12" s="29">
        <v>63</v>
      </c>
      <c r="G12" s="31"/>
      <c r="H12" s="28">
        <f>51/52*100</f>
        <v>98.07692307692307</v>
      </c>
      <c r="I12" s="28"/>
      <c r="J12" s="28">
        <f>51/52*100</f>
        <v>98.07692307692307</v>
      </c>
      <c r="K12" s="8"/>
      <c r="L12" s="2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7" customFormat="1" ht="12.75" customHeight="1">
      <c r="A13" s="7" t="s">
        <v>10</v>
      </c>
      <c r="B13" s="8">
        <f>42/47*100</f>
        <v>89.36170212765957</v>
      </c>
      <c r="C13" s="28"/>
      <c r="D13" s="28">
        <f>45/47*100</f>
        <v>95.74468085106383</v>
      </c>
      <c r="E13" s="8"/>
      <c r="F13" s="29">
        <v>85</v>
      </c>
      <c r="G13" s="31"/>
      <c r="H13" s="28">
        <f>47/47*100</f>
        <v>100</v>
      </c>
      <c r="I13" s="28"/>
      <c r="J13" s="28">
        <f>47/47*100</f>
        <v>100</v>
      </c>
      <c r="K13" s="8"/>
      <c r="L13" s="2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7" customFormat="1" ht="12.75" customHeight="1">
      <c r="A14" s="7" t="s">
        <v>11</v>
      </c>
      <c r="B14" s="8">
        <f>39/52*100</f>
        <v>75</v>
      </c>
      <c r="C14" s="28"/>
      <c r="D14" s="28">
        <f>43/50*100</f>
        <v>86</v>
      </c>
      <c r="E14" s="8"/>
      <c r="F14" s="29">
        <v>55</v>
      </c>
      <c r="G14" s="31"/>
      <c r="H14" s="28">
        <f>52/53*100</f>
        <v>98.11320754716981</v>
      </c>
      <c r="I14" s="28"/>
      <c r="J14" s="28">
        <f>50/53*100</f>
        <v>94.33962264150944</v>
      </c>
      <c r="K14" s="8"/>
      <c r="L14" s="2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7" customFormat="1" ht="12.75" customHeight="1">
      <c r="A15" s="7" t="s">
        <v>12</v>
      </c>
      <c r="B15" s="8">
        <f>36/44*100</f>
        <v>81.81818181818183</v>
      </c>
      <c r="C15" s="28"/>
      <c r="D15" s="28">
        <f>33/44*100</f>
        <v>75</v>
      </c>
      <c r="E15" s="8"/>
      <c r="F15" s="29">
        <v>68</v>
      </c>
      <c r="G15" s="31"/>
      <c r="H15" s="28">
        <f>44/49*100</f>
        <v>89.79591836734694</v>
      </c>
      <c r="I15" s="28"/>
      <c r="J15" s="28">
        <f>44/49*100</f>
        <v>89.79591836734694</v>
      </c>
      <c r="K15" s="8"/>
      <c r="L15" s="2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7" customFormat="1" ht="12.75" customHeight="1">
      <c r="A16" s="7" t="s">
        <v>1</v>
      </c>
      <c r="B16" s="8">
        <f>9/15*100</f>
        <v>60</v>
      </c>
      <c r="C16" s="28"/>
      <c r="D16" s="28">
        <f>8/15*100</f>
        <v>53.333333333333336</v>
      </c>
      <c r="E16" s="8"/>
      <c r="F16" s="29">
        <v>90</v>
      </c>
      <c r="G16" s="31"/>
      <c r="H16" s="28">
        <f>15/24*100</f>
        <v>62.5</v>
      </c>
      <c r="I16" s="28"/>
      <c r="J16" s="28">
        <f>15/24*100</f>
        <v>62.5</v>
      </c>
      <c r="K16" s="8"/>
      <c r="L16" s="2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7" customFormat="1" ht="12.75" customHeight="1">
      <c r="A17" s="7" t="s">
        <v>13</v>
      </c>
      <c r="B17" s="8">
        <f>16/51*100</f>
        <v>31.372549019607842</v>
      </c>
      <c r="C17" s="28"/>
      <c r="D17" s="28">
        <f>38/51*100</f>
        <v>74.50980392156863</v>
      </c>
      <c r="E17" s="8"/>
      <c r="F17" s="29">
        <v>60</v>
      </c>
      <c r="G17" s="31"/>
      <c r="H17" s="28">
        <f>51/55*100</f>
        <v>92.72727272727272</v>
      </c>
      <c r="I17" s="28"/>
      <c r="J17" s="28">
        <f>51/55*100</f>
        <v>92.72727272727272</v>
      </c>
      <c r="K17" s="8"/>
      <c r="L17" s="2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7" customFormat="1" ht="12.75" customHeight="1">
      <c r="A18" s="7" t="s">
        <v>14</v>
      </c>
      <c r="B18" s="8">
        <f>36/46*100</f>
        <v>78.26086956521739</v>
      </c>
      <c r="C18" s="28"/>
      <c r="D18" s="28">
        <f>32/46*100</f>
        <v>69.56521739130434</v>
      </c>
      <c r="E18" s="8"/>
      <c r="F18" s="29">
        <v>58</v>
      </c>
      <c r="G18" s="31"/>
      <c r="H18" s="28">
        <f>46/46*100</f>
        <v>100</v>
      </c>
      <c r="I18" s="28"/>
      <c r="J18" s="28">
        <f>46/46*100</f>
        <v>100</v>
      </c>
      <c r="K18" s="8"/>
      <c r="L18" s="29"/>
      <c r="M18" s="31"/>
      <c r="N18" s="31"/>
      <c r="O18" s="3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7" customFormat="1" ht="12.75">
      <c r="A19" s="7" t="s">
        <v>24</v>
      </c>
      <c r="B19" s="8">
        <f>5/9*100</f>
        <v>55.55555555555556</v>
      </c>
      <c r="C19" s="28"/>
      <c r="D19" s="8">
        <f>8/8*100</f>
        <v>100</v>
      </c>
      <c r="E19" s="8"/>
      <c r="F19" s="29">
        <v>50</v>
      </c>
      <c r="G19" s="31"/>
      <c r="H19" s="8">
        <f>9/9*100</f>
        <v>100</v>
      </c>
      <c r="I19" s="28"/>
      <c r="J19" s="8">
        <f>8/9*100</f>
        <v>88.88888888888889</v>
      </c>
      <c r="K19" s="8"/>
      <c r="L19" s="29"/>
      <c r="M19" s="31"/>
      <c r="N19" s="31"/>
      <c r="O19" s="3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7" customFormat="1" ht="12.75" customHeight="1">
      <c r="A20" s="7" t="s">
        <v>25</v>
      </c>
      <c r="B20" s="8">
        <f>12/17*100</f>
        <v>70.58823529411765</v>
      </c>
      <c r="C20" s="28"/>
      <c r="D20" s="28">
        <f>11/17*100</f>
        <v>64.70588235294117</v>
      </c>
      <c r="E20" s="8"/>
      <c r="F20" s="29">
        <v>47</v>
      </c>
      <c r="G20" s="31"/>
      <c r="H20" s="28">
        <f>17/19*100</f>
        <v>89.47368421052632</v>
      </c>
      <c r="I20" s="28"/>
      <c r="J20" s="28">
        <f>17/19*100</f>
        <v>89.47368421052632</v>
      </c>
      <c r="K20" s="8"/>
      <c r="L20" s="29"/>
      <c r="M20" s="31"/>
      <c r="N20" s="31"/>
      <c r="O20" s="31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7" customFormat="1" ht="12.75" customHeight="1">
      <c r="A21" s="7" t="s">
        <v>26</v>
      </c>
      <c r="B21" s="8">
        <f>17/30*100</f>
        <v>56.666666666666664</v>
      </c>
      <c r="C21" s="28"/>
      <c r="D21" s="28">
        <f>22/30*100</f>
        <v>73.33333333333333</v>
      </c>
      <c r="E21" s="8"/>
      <c r="F21" s="29">
        <v>50</v>
      </c>
      <c r="G21" s="31"/>
      <c r="H21" s="28">
        <f>30/34*100</f>
        <v>88.23529411764706</v>
      </c>
      <c r="I21" s="28"/>
      <c r="J21" s="28">
        <f>30/34*100</f>
        <v>88.23529411764706</v>
      </c>
      <c r="K21" s="8"/>
      <c r="L21" s="29"/>
      <c r="M21" s="31"/>
      <c r="N21" s="31"/>
      <c r="O21" s="3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7" customFormat="1" ht="12.75" customHeight="1">
      <c r="A22" s="42" t="s">
        <v>41</v>
      </c>
      <c r="B22" s="40">
        <f>6/16*100</f>
        <v>37.5</v>
      </c>
      <c r="C22" s="44"/>
      <c r="D22" s="44">
        <f>9/16*100</f>
        <v>56.25</v>
      </c>
      <c r="E22" s="40"/>
      <c r="F22" s="30">
        <v>24</v>
      </c>
      <c r="G22" s="31"/>
      <c r="H22" s="44">
        <f>16/17*100</f>
        <v>94.11764705882352</v>
      </c>
      <c r="I22" s="44"/>
      <c r="J22" s="44">
        <f>16/17*100</f>
        <v>94.11764705882352</v>
      </c>
      <c r="K22" s="40"/>
      <c r="L22" s="30"/>
      <c r="M22" s="31"/>
      <c r="N22" s="31"/>
      <c r="O22" s="31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7" customFormat="1" ht="12.75" customHeight="1">
      <c r="A23" s="7" t="s">
        <v>3</v>
      </c>
      <c r="B23" s="8">
        <f>35/51*100</f>
        <v>68.62745098039215</v>
      </c>
      <c r="C23" s="28"/>
      <c r="D23" s="28">
        <f>37/51*100</f>
        <v>72.54901960784314</v>
      </c>
      <c r="E23" s="8"/>
      <c r="F23" s="29">
        <v>44</v>
      </c>
      <c r="G23" s="31"/>
      <c r="H23" s="28">
        <f>51/60*100</f>
        <v>85</v>
      </c>
      <c r="I23" s="28"/>
      <c r="J23" s="28">
        <f>51/60*100</f>
        <v>85</v>
      </c>
      <c r="K23" s="8"/>
      <c r="L23" s="2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7" customFormat="1" ht="12.75" customHeight="1">
      <c r="A24" s="7" t="s">
        <v>15</v>
      </c>
      <c r="B24" s="8">
        <f>46/52*100</f>
        <v>88.46153846153845</v>
      </c>
      <c r="C24" s="28"/>
      <c r="D24" s="28">
        <f>46/52*100</f>
        <v>88.46153846153845</v>
      </c>
      <c r="E24" s="8"/>
      <c r="F24" s="29">
        <v>70</v>
      </c>
      <c r="G24" s="31"/>
      <c r="H24" s="28">
        <f>52/54*100</f>
        <v>96.29629629629629</v>
      </c>
      <c r="I24" s="28"/>
      <c r="J24" s="28">
        <f>52/54*100</f>
        <v>96.29629629629629</v>
      </c>
      <c r="K24" s="8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7" customFormat="1" ht="12.75" customHeight="1">
      <c r="A25" s="7" t="s">
        <v>16</v>
      </c>
      <c r="B25" s="8">
        <f>26/38*100</f>
        <v>68.42105263157895</v>
      </c>
      <c r="C25" s="28"/>
      <c r="D25" s="28">
        <f>31/38*100</f>
        <v>81.57894736842105</v>
      </c>
      <c r="E25" s="8"/>
      <c r="F25" s="29">
        <v>62</v>
      </c>
      <c r="G25" s="31"/>
      <c r="H25" s="28">
        <f>38/46*100</f>
        <v>82.6086956521739</v>
      </c>
      <c r="I25" s="28"/>
      <c r="J25" s="28">
        <f>38/46*100</f>
        <v>82.6086956521739</v>
      </c>
      <c r="K25" s="8"/>
      <c r="L25" s="29"/>
      <c r="M25" s="31"/>
      <c r="N25" s="31"/>
      <c r="O25" s="3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7" customFormat="1" ht="12.75" customHeight="1">
      <c r="A26" s="7" t="s">
        <v>57</v>
      </c>
      <c r="B26" s="8">
        <f>1/6*100</f>
        <v>16.666666666666664</v>
      </c>
      <c r="C26" s="28"/>
      <c r="D26" s="28">
        <f>3/6*100</f>
        <v>50</v>
      </c>
      <c r="E26" s="8"/>
      <c r="F26" s="29">
        <v>50</v>
      </c>
      <c r="G26" s="31"/>
      <c r="H26" s="28">
        <f>6/7*100</f>
        <v>85.71428571428571</v>
      </c>
      <c r="I26" s="28"/>
      <c r="J26" s="28">
        <f>6/7*100</f>
        <v>85.71428571428571</v>
      </c>
      <c r="K26" s="8"/>
      <c r="L26" s="29"/>
      <c r="M26" s="31"/>
      <c r="N26" s="31"/>
      <c r="O26" s="3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7" customFormat="1" ht="12.75" customHeight="1">
      <c r="A27" s="7" t="s">
        <v>17</v>
      </c>
      <c r="B27" s="8">
        <f>27/33*100</f>
        <v>81.81818181818183</v>
      </c>
      <c r="C27" s="28"/>
      <c r="D27" s="28">
        <f>32/34*100</f>
        <v>94.11764705882352</v>
      </c>
      <c r="E27" s="8"/>
      <c r="F27" s="29">
        <v>75</v>
      </c>
      <c r="G27" s="31"/>
      <c r="H27" s="28">
        <f>33/38*100</f>
        <v>86.8421052631579</v>
      </c>
      <c r="I27" s="28"/>
      <c r="J27" s="28">
        <f>34/38*100</f>
        <v>89.47368421052632</v>
      </c>
      <c r="K27" s="8"/>
      <c r="L27" s="29"/>
      <c r="M27" s="31"/>
      <c r="N27" s="31"/>
      <c r="O27" s="3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7" customFormat="1" ht="12.75" customHeight="1">
      <c r="A28" s="7" t="s">
        <v>18</v>
      </c>
      <c r="B28" s="8">
        <f>18/19*100</f>
        <v>94.73684210526315</v>
      </c>
      <c r="C28" s="28"/>
      <c r="D28" s="28">
        <f>18/19*100</f>
        <v>94.73684210526315</v>
      </c>
      <c r="E28" s="8"/>
      <c r="F28" s="29">
        <v>83</v>
      </c>
      <c r="G28" s="31"/>
      <c r="H28" s="28">
        <f>19/23*100</f>
        <v>82.6086956521739</v>
      </c>
      <c r="I28" s="28"/>
      <c r="J28" s="28">
        <f>19/23*100</f>
        <v>82.6086956521739</v>
      </c>
      <c r="K28" s="8"/>
      <c r="L28" s="2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7" customFormat="1" ht="12.75" customHeight="1">
      <c r="A29" s="7" t="s">
        <v>40</v>
      </c>
      <c r="B29" s="8">
        <f>45/45*100</f>
        <v>100</v>
      </c>
      <c r="C29" s="28"/>
      <c r="D29" s="28">
        <f>43/45*100</f>
        <v>95.55555555555556</v>
      </c>
      <c r="E29" s="8"/>
      <c r="F29" s="29">
        <v>80</v>
      </c>
      <c r="G29" s="31"/>
      <c r="H29" s="28">
        <f>45/45*100</f>
        <v>100</v>
      </c>
      <c r="I29" s="28"/>
      <c r="J29" s="28">
        <f>45/45*100</f>
        <v>100</v>
      </c>
      <c r="K29" s="8"/>
      <c r="L29" s="29"/>
      <c r="M29" s="31"/>
      <c r="N29" s="31"/>
      <c r="O29" s="3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7" customFormat="1" ht="12.75" customHeight="1">
      <c r="A30" s="7" t="s">
        <v>4</v>
      </c>
      <c r="B30" s="8">
        <f>30/41*100</f>
        <v>73.17073170731707</v>
      </c>
      <c r="C30" s="28"/>
      <c r="D30" s="28">
        <f>33/41*100</f>
        <v>80.48780487804879</v>
      </c>
      <c r="E30" s="8"/>
      <c r="F30" s="29">
        <v>68</v>
      </c>
      <c r="G30" s="31"/>
      <c r="H30" s="28">
        <f>41/42*100</f>
        <v>97.61904761904762</v>
      </c>
      <c r="I30" s="28"/>
      <c r="J30" s="28">
        <f>41/42*100</f>
        <v>97.61904761904762</v>
      </c>
      <c r="K30" s="8"/>
      <c r="L30" s="29"/>
      <c r="M30" s="31"/>
      <c r="N30" s="31"/>
      <c r="O30" s="3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7" customFormat="1" ht="12.75" customHeight="1">
      <c r="A31" s="7" t="s">
        <v>19</v>
      </c>
      <c r="B31" s="8">
        <f>21/27*100</f>
        <v>77.77777777777779</v>
      </c>
      <c r="C31" s="28"/>
      <c r="D31" s="28">
        <f>23/27*100</f>
        <v>85.18518518518519</v>
      </c>
      <c r="E31" s="8"/>
      <c r="F31" s="29">
        <v>48</v>
      </c>
      <c r="G31" s="31"/>
      <c r="H31" s="28">
        <f>27/31*100</f>
        <v>87.09677419354838</v>
      </c>
      <c r="I31" s="28"/>
      <c r="J31" s="28">
        <f>27/31*100</f>
        <v>87.09677419354838</v>
      </c>
      <c r="K31" s="8"/>
      <c r="L31" s="2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7" customFormat="1" ht="12.75" customHeight="1">
      <c r="A32" s="7" t="s">
        <v>20</v>
      </c>
      <c r="B32" s="8">
        <f>15/24*100</f>
        <v>62.5</v>
      </c>
      <c r="C32" s="28"/>
      <c r="D32" s="28">
        <f>17/37*100</f>
        <v>45.94594594594595</v>
      </c>
      <c r="E32" s="8"/>
      <c r="F32" s="29">
        <v>26</v>
      </c>
      <c r="G32" s="31"/>
      <c r="H32" s="28">
        <f>24/27*100</f>
        <v>88.88888888888889</v>
      </c>
      <c r="I32" s="28"/>
      <c r="J32" s="28">
        <f>24/27*100</f>
        <v>88.88888888888889</v>
      </c>
      <c r="K32" s="8"/>
      <c r="L32" s="2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7" customFormat="1" ht="12.75" customHeight="1">
      <c r="A33" s="7" t="s">
        <v>21</v>
      </c>
      <c r="B33" s="8">
        <f>27/35*100</f>
        <v>77.14285714285715</v>
      </c>
      <c r="C33" s="28"/>
      <c r="D33" s="28">
        <f>29/35*100</f>
        <v>82.85714285714286</v>
      </c>
      <c r="E33" s="8"/>
      <c r="F33" s="29">
        <v>61</v>
      </c>
      <c r="G33" s="31"/>
      <c r="H33" s="28">
        <f>35/40*100</f>
        <v>87.5</v>
      </c>
      <c r="I33" s="28"/>
      <c r="J33" s="28">
        <f>35/40*100</f>
        <v>87.5</v>
      </c>
      <c r="K33" s="8"/>
      <c r="L33" s="29"/>
      <c r="M33" s="31"/>
      <c r="N33" s="31"/>
      <c r="O33" s="31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7" customFormat="1" ht="12.75" customHeight="1">
      <c r="A34" s="7" t="s">
        <v>22</v>
      </c>
      <c r="B34" s="8">
        <f>13/14*100</f>
        <v>92.85714285714286</v>
      </c>
      <c r="C34" s="28"/>
      <c r="D34" s="28">
        <f>12/14*100</f>
        <v>85.71428571428571</v>
      </c>
      <c r="E34" s="8"/>
      <c r="F34" s="29">
        <v>71</v>
      </c>
      <c r="G34" s="31"/>
      <c r="H34" s="28">
        <f>14/14*100</f>
        <v>100</v>
      </c>
      <c r="I34" s="28"/>
      <c r="J34" s="28">
        <f>14/14*100</f>
        <v>100</v>
      </c>
      <c r="K34" s="8"/>
      <c r="L34" s="29"/>
      <c r="M34" s="31"/>
      <c r="N34" s="31"/>
      <c r="O34" s="31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7" customFormat="1" ht="12.75" customHeight="1">
      <c r="A35" s="7" t="s">
        <v>23</v>
      </c>
      <c r="B35" s="8">
        <f>49/73*100</f>
        <v>67.12328767123287</v>
      </c>
      <c r="C35" s="28"/>
      <c r="D35" s="28">
        <f>56/73*100</f>
        <v>76.71232876712328</v>
      </c>
      <c r="E35" s="8"/>
      <c r="F35" s="29">
        <v>82</v>
      </c>
      <c r="G35" s="31"/>
      <c r="H35" s="28">
        <f>73/80*100</f>
        <v>91.25</v>
      </c>
      <c r="I35" s="28"/>
      <c r="J35" s="28">
        <f>73/80*100</f>
        <v>91.25</v>
      </c>
      <c r="K35" s="8"/>
      <c r="L35" s="29"/>
      <c r="M35" s="31"/>
      <c r="N35" s="31"/>
      <c r="O35" s="3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7" customFormat="1" ht="12.75" customHeight="1">
      <c r="A36" s="1" t="s">
        <v>31</v>
      </c>
      <c r="B36" s="35">
        <v>74</v>
      </c>
      <c r="C36" s="28"/>
      <c r="D36" s="34">
        <v>80</v>
      </c>
      <c r="E36" s="2"/>
      <c r="F36" s="33">
        <v>64</v>
      </c>
      <c r="G36" s="31"/>
      <c r="H36" s="34">
        <v>91</v>
      </c>
      <c r="I36" s="28">
        <v>91</v>
      </c>
      <c r="J36" s="22">
        <v>91</v>
      </c>
      <c r="K36" s="2"/>
      <c r="L36" s="33"/>
      <c r="M36" s="31"/>
      <c r="N36" s="31"/>
      <c r="O36" s="3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s="1" customFormat="1" ht="12.75" customHeight="1">
      <c r="B37" s="11"/>
      <c r="C37" s="8"/>
      <c r="D37" s="8"/>
      <c r="E37" s="8"/>
      <c r="F37" s="8"/>
      <c r="G37" s="36"/>
      <c r="H37" s="11"/>
      <c r="I37" s="8"/>
      <c r="J37" s="8"/>
      <c r="K37" s="8"/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7" customFormat="1" ht="12.75" customHeight="1">
      <c r="A38" s="7" t="s">
        <v>38</v>
      </c>
      <c r="B38" s="11"/>
      <c r="C38" s="8"/>
      <c r="D38" s="8"/>
      <c r="E38" s="8"/>
      <c r="F38" s="8"/>
      <c r="G38" s="8"/>
      <c r="H38" s="1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s="7" customFormat="1" ht="12.75" customHeight="1">
      <c r="B39" s="11"/>
      <c r="C39" s="8"/>
      <c r="D39" s="8"/>
      <c r="E39" s="8"/>
      <c r="F39" s="8"/>
      <c r="G39" s="8"/>
      <c r="H39" s="1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12" s="50" customFormat="1" ht="7.5" customHeight="1">
      <c r="A40" s="48"/>
      <c r="B40" s="55"/>
      <c r="C40" s="55"/>
      <c r="D40" s="55"/>
      <c r="E40" s="49"/>
      <c r="F40" s="49"/>
      <c r="H40" s="51"/>
      <c r="I40" s="49"/>
      <c r="J40" s="49"/>
      <c r="K40" s="49"/>
      <c r="L40" s="49"/>
    </row>
    <row r="41" spans="1:12" s="50" customFormat="1" ht="52.5" customHeight="1">
      <c r="A41" s="48"/>
      <c r="B41" s="56" t="s">
        <v>39</v>
      </c>
      <c r="C41" s="56"/>
      <c r="D41" s="56"/>
      <c r="E41" s="49"/>
      <c r="F41" s="49"/>
      <c r="H41" s="56" t="s">
        <v>60</v>
      </c>
      <c r="I41" s="56"/>
      <c r="J41" s="56"/>
      <c r="K41" s="49"/>
      <c r="L41" s="49"/>
    </row>
    <row r="42" spans="1:33" s="7" customFormat="1" ht="12.75" customHeight="1">
      <c r="A42" s="8"/>
      <c r="B42" s="26" t="s">
        <v>29</v>
      </c>
      <c r="C42" s="16"/>
      <c r="D42" s="26" t="s">
        <v>0</v>
      </c>
      <c r="E42" s="4"/>
      <c r="F42" s="4"/>
      <c r="G42" s="8"/>
      <c r="H42" s="26" t="s">
        <v>29</v>
      </c>
      <c r="I42" s="16"/>
      <c r="J42" s="26" t="s">
        <v>0</v>
      </c>
      <c r="K42" s="4"/>
      <c r="L42" s="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7" customFormat="1" ht="15.75">
      <c r="A43" s="47" t="s">
        <v>30</v>
      </c>
      <c r="B43" s="12" t="s">
        <v>56</v>
      </c>
      <c r="C43" s="10"/>
      <c r="D43" s="12" t="s">
        <v>56</v>
      </c>
      <c r="E43" s="4"/>
      <c r="F43" s="4"/>
      <c r="G43" s="8"/>
      <c r="H43" s="12" t="s">
        <v>56</v>
      </c>
      <c r="I43" s="10"/>
      <c r="J43" s="12" t="s">
        <v>56</v>
      </c>
      <c r="K43" s="4"/>
      <c r="L43" s="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7" customFormat="1" ht="12.75" customHeight="1">
      <c r="A44" s="8" t="s">
        <v>5</v>
      </c>
      <c r="B44" s="29">
        <f>10/26*100</f>
        <v>38.46153846153847</v>
      </c>
      <c r="C44" s="14"/>
      <c r="D44" s="29">
        <v>44</v>
      </c>
      <c r="E44" s="4"/>
      <c r="F44" s="4"/>
      <c r="G44" s="8"/>
      <c r="H44" s="29">
        <f>26/33*100</f>
        <v>78.78787878787878</v>
      </c>
      <c r="I44" s="14"/>
      <c r="J44" s="29"/>
      <c r="K44" s="4"/>
      <c r="L44" s="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7" customFormat="1" ht="12.75" customHeight="1">
      <c r="A45" s="8" t="s">
        <v>2</v>
      </c>
      <c r="B45" s="29">
        <f>71/87*100</f>
        <v>81.60919540229885</v>
      </c>
      <c r="C45" s="14"/>
      <c r="D45" s="29">
        <v>84</v>
      </c>
      <c r="E45" s="4"/>
      <c r="F45" s="4"/>
      <c r="G45" s="8"/>
      <c r="H45" s="29">
        <f>87/103*100</f>
        <v>84.46601941747572</v>
      </c>
      <c r="I45" s="14"/>
      <c r="J45" s="29"/>
      <c r="K45" s="4"/>
      <c r="L45" s="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7" customFormat="1" ht="12.75" customHeight="1">
      <c r="A46" s="40" t="s">
        <v>32</v>
      </c>
      <c r="B46" s="30">
        <f>91/112*100</f>
        <v>81.25</v>
      </c>
      <c r="C46" s="41"/>
      <c r="D46" s="30">
        <v>78</v>
      </c>
      <c r="E46" s="4"/>
      <c r="F46" s="4"/>
      <c r="G46" s="8"/>
      <c r="H46" s="30">
        <f>112/134*100</f>
        <v>83.5820895522388</v>
      </c>
      <c r="I46" s="41"/>
      <c r="J46" s="30"/>
      <c r="K46" s="4"/>
      <c r="L46" s="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7" customFormat="1" ht="12.75" customHeight="1">
      <c r="A47" s="8" t="s">
        <v>1</v>
      </c>
      <c r="B47" s="29">
        <f>38/59*100</f>
        <v>64.40677966101694</v>
      </c>
      <c r="C47" s="14"/>
      <c r="D47" s="29">
        <v>67</v>
      </c>
      <c r="E47" s="4"/>
      <c r="F47" s="4"/>
      <c r="G47" s="8"/>
      <c r="H47" s="29">
        <f>59/70*100</f>
        <v>84.28571428571429</v>
      </c>
      <c r="I47" s="14"/>
      <c r="J47" s="29"/>
      <c r="K47" s="4"/>
      <c r="L47" s="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7" customFormat="1" ht="12.75" customHeight="1">
      <c r="A48" s="40" t="s">
        <v>41</v>
      </c>
      <c r="B48" s="30">
        <f>9/12*100</f>
        <v>75</v>
      </c>
      <c r="C48" s="41"/>
      <c r="D48" s="30">
        <v>75</v>
      </c>
      <c r="E48" s="4"/>
      <c r="F48" s="4"/>
      <c r="G48" s="8"/>
      <c r="H48" s="30">
        <f>12/12*100</f>
        <v>100</v>
      </c>
      <c r="I48" s="41"/>
      <c r="J48" s="30"/>
      <c r="K48" s="4"/>
      <c r="L48" s="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7" customFormat="1" ht="12.75" customHeight="1">
      <c r="A49" s="8" t="s">
        <v>3</v>
      </c>
      <c r="B49" s="29">
        <f>116/174*100</f>
        <v>66.66666666666666</v>
      </c>
      <c r="C49" s="14"/>
      <c r="D49" s="29">
        <v>74</v>
      </c>
      <c r="E49" s="4"/>
      <c r="F49" s="4"/>
      <c r="G49" s="8"/>
      <c r="H49" s="29">
        <f>174/198*100</f>
        <v>87.87878787878788</v>
      </c>
      <c r="I49" s="14"/>
      <c r="J49" s="29"/>
      <c r="K49" s="4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7" customFormat="1" ht="12.75" customHeight="1">
      <c r="A50" s="7" t="s">
        <v>57</v>
      </c>
      <c r="B50" s="8">
        <f>5/5*100</f>
        <v>100</v>
      </c>
      <c r="C50" s="8"/>
      <c r="D50" s="8">
        <v>80</v>
      </c>
      <c r="E50" s="4"/>
      <c r="F50" s="4"/>
      <c r="G50" s="8"/>
      <c r="H50" s="8">
        <f>5/5*100</f>
        <v>100</v>
      </c>
      <c r="I50" s="8"/>
      <c r="J50" s="8"/>
      <c r="K50" s="4"/>
      <c r="L50" s="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7" customFormat="1" ht="12.75" customHeight="1">
      <c r="A51" s="8" t="s">
        <v>33</v>
      </c>
      <c r="B51" s="29">
        <f>84/105*100</f>
        <v>80</v>
      </c>
      <c r="C51" s="14"/>
      <c r="D51" s="29">
        <v>83</v>
      </c>
      <c r="E51" s="4"/>
      <c r="F51" s="4"/>
      <c r="G51" s="8"/>
      <c r="H51" s="29">
        <f>105/133*100</f>
        <v>78.94736842105263</v>
      </c>
      <c r="I51" s="14"/>
      <c r="J51" s="29"/>
      <c r="K51" s="4"/>
      <c r="L51" s="4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7" customFormat="1" ht="12.75" customHeight="1">
      <c r="A52" s="8" t="s">
        <v>4</v>
      </c>
      <c r="B52" s="29">
        <f>65/89*100</f>
        <v>73.03370786516854</v>
      </c>
      <c r="C52" s="14"/>
      <c r="D52" s="29">
        <v>64</v>
      </c>
      <c r="E52" s="4"/>
      <c r="F52" s="4"/>
      <c r="G52" s="8"/>
      <c r="H52" s="29">
        <f>89/100*100</f>
        <v>89</v>
      </c>
      <c r="I52" s="14"/>
      <c r="J52" s="29"/>
      <c r="K52" s="4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7" customFormat="1" ht="12.75" customHeight="1">
      <c r="A53" s="8" t="s">
        <v>34</v>
      </c>
      <c r="B53" s="29">
        <f>94/109*100</f>
        <v>86.23853211009175</v>
      </c>
      <c r="C53" s="14"/>
      <c r="D53" s="29">
        <v>86</v>
      </c>
      <c r="E53" s="4"/>
      <c r="F53" s="4"/>
      <c r="G53" s="8"/>
      <c r="H53" s="29">
        <f>109/121*100</f>
        <v>90.08264462809917</v>
      </c>
      <c r="I53" s="14"/>
      <c r="J53" s="29"/>
      <c r="K53" s="4"/>
      <c r="L53" s="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7" customFormat="1" ht="12.75" customHeight="1">
      <c r="A54" s="2" t="s">
        <v>31</v>
      </c>
      <c r="B54" s="33">
        <v>75</v>
      </c>
      <c r="C54" s="15"/>
      <c r="D54" s="33">
        <v>76</v>
      </c>
      <c r="E54" s="4"/>
      <c r="F54" s="4"/>
      <c r="G54" s="8"/>
      <c r="H54" s="33">
        <v>86</v>
      </c>
      <c r="I54" s="15"/>
      <c r="J54" s="33"/>
      <c r="K54" s="4"/>
      <c r="L54" s="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7" customFormat="1" ht="12.75" customHeight="1">
      <c r="A55" s="3"/>
      <c r="B55" s="46"/>
      <c r="C55" s="4"/>
      <c r="D55" s="4"/>
      <c r="E55" s="4"/>
      <c r="F55" s="4"/>
      <c r="G55" s="8"/>
      <c r="H55" s="46"/>
      <c r="I55" s="4"/>
      <c r="J55" s="4"/>
      <c r="K55" s="4"/>
      <c r="L55" s="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7" customFormat="1" ht="12.75" customHeight="1">
      <c r="A56" s="3"/>
      <c r="B56" s="46"/>
      <c r="C56" s="4"/>
      <c r="D56" s="4"/>
      <c r="E56" s="4"/>
      <c r="F56" s="4"/>
      <c r="G56" s="8"/>
      <c r="H56" s="46"/>
      <c r="I56" s="4"/>
      <c r="J56" s="4"/>
      <c r="K56" s="4"/>
      <c r="L56" s="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</sheetData>
  <mergeCells count="5">
    <mergeCell ref="B4:F4"/>
    <mergeCell ref="H4:L4"/>
    <mergeCell ref="B40:D40"/>
    <mergeCell ref="B41:D41"/>
    <mergeCell ref="H41:J41"/>
  </mergeCells>
  <printOptions/>
  <pageMargins left="0.7874015748031497" right="0" top="1.1811023622047245" bottom="0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2001-06-14T17:32:12Z</cp:lastPrinted>
  <dcterms:created xsi:type="dcterms:W3CDTF">1999-08-09T08:11:42Z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