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Nyckeltal" sheetId="1" r:id="rId1"/>
    <sheet name="Tabell till rapport" sheetId="2" r:id="rId2"/>
    <sheet name="Grunddata per grupp" sheetId="3" r:id="rId3"/>
    <sheet name="Dag resp. kväll samt fördelni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?sa ?stman</author>
  </authors>
  <commentList>
    <comment ref="M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  <comment ref="J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  <comment ref="G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  <comment ref="D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  <comment ref="N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  <comment ref="O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  <comment ref="P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  <comment ref="Q18" authorId="0">
      <text>
        <r>
          <rPr>
            <b/>
            <sz val="8"/>
            <rFont val="Tahoma"/>
            <family val="0"/>
          </rPr>
          <t>Åsa Östman:</t>
        </r>
        <r>
          <rPr>
            <sz val="8"/>
            <rFont val="Tahoma"/>
            <family val="0"/>
          </rPr>
          <t xml:space="preserve">
350000/1540=230kr/tim</t>
        </r>
      </text>
    </comment>
  </commentList>
</comments>
</file>

<file path=xl/sharedStrings.xml><?xml version="1.0" encoding="utf-8"?>
<sst xmlns="http://schemas.openxmlformats.org/spreadsheetml/2006/main" count="146" uniqueCount="62">
  <si>
    <t>Hemtjänsten - lite nyckeltal</t>
  </si>
  <si>
    <t>Dag</t>
  </si>
  <si>
    <t>Kväll</t>
  </si>
  <si>
    <t>Natt</t>
  </si>
  <si>
    <t>Larm</t>
  </si>
  <si>
    <t>Intäkter</t>
  </si>
  <si>
    <t>Personalkostnader</t>
  </si>
  <si>
    <t>Övriga kostnader</t>
  </si>
  <si>
    <t>Vinst/förlust</t>
  </si>
  <si>
    <t>Verksamhet</t>
  </si>
  <si>
    <t>Hyror + förbrukningsmaterial</t>
  </si>
  <si>
    <t>Interna kostnader &amp; avskrivningar</t>
  </si>
  <si>
    <t>Kostnader</t>
  </si>
  <si>
    <t>Biet</t>
  </si>
  <si>
    <t>Älta</t>
  </si>
  <si>
    <t>Antal utförda timmar</t>
  </si>
  <si>
    <t>Fisksätra</t>
  </si>
  <si>
    <t>Total medelkostnad/utförd timme</t>
  </si>
  <si>
    <t>Personal medelkostnad/utförd timme</t>
  </si>
  <si>
    <t>Personalkostnad/timme</t>
  </si>
  <si>
    <t>Helg</t>
  </si>
  <si>
    <t>Service</t>
  </si>
  <si>
    <t>Checkbelopp, 2001</t>
  </si>
  <si>
    <t>Boo</t>
  </si>
  <si>
    <t>Ektorp</t>
  </si>
  <si>
    <t>Sickla</t>
  </si>
  <si>
    <t>Totalsumma</t>
  </si>
  <si>
    <t>Andel av total förlust</t>
  </si>
  <si>
    <t>Summa dag</t>
  </si>
  <si>
    <t>Total %</t>
  </si>
  <si>
    <t>Summa kväll</t>
  </si>
  <si>
    <t>Summa upphandlat</t>
  </si>
  <si>
    <t>Saltsjöboo</t>
  </si>
  <si>
    <t>Saltsjöbaden</t>
  </si>
  <si>
    <t>Upphandlat</t>
  </si>
  <si>
    <t>Totalt</t>
  </si>
  <si>
    <t>Summa</t>
  </si>
  <si>
    <t>Summa konkurrensutsatt</t>
  </si>
  <si>
    <t>Antal arbetade timmar</t>
  </si>
  <si>
    <t>Beläggningsgrad</t>
  </si>
  <si>
    <t>Medelintäkt/utförd timme</t>
  </si>
  <si>
    <t xml:space="preserve">Helg </t>
  </si>
  <si>
    <t>Checker</t>
  </si>
  <si>
    <t>Bom-timmar</t>
  </si>
  <si>
    <t>Kund på sjukhus</t>
  </si>
  <si>
    <t>Inte vill / inte hemma</t>
  </si>
  <si>
    <t>Växelboende (kan planeras)</t>
  </si>
  <si>
    <t>Övriga orsaker, vet inte timantal</t>
  </si>
  <si>
    <t>Debiteringsgrad</t>
  </si>
  <si>
    <t>Medelintäkt/</t>
  </si>
  <si>
    <t>utförd timme</t>
  </si>
  <si>
    <t>Personalkostnad/</t>
  </si>
  <si>
    <t>Totalkostnad/</t>
  </si>
  <si>
    <t>Vinst/förlust per</t>
  </si>
  <si>
    <t xml:space="preserve">Noll med </t>
  </si>
  <si>
    <t>samma kundbas</t>
  </si>
  <si>
    <t>ökad kundbas</t>
  </si>
  <si>
    <t>Scenario</t>
  </si>
  <si>
    <t>70% beläggning</t>
  </si>
  <si>
    <t>75% beläggning</t>
  </si>
  <si>
    <t>Årsarbetskraft</t>
  </si>
  <si>
    <t>11% högre intäkt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</si>
</sst>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0.0%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0" xfId="18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8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3" xfId="18" applyNumberFormat="1" applyFont="1" applyBorder="1" applyAlignment="1">
      <alignment/>
    </xf>
    <xf numFmtId="165" fontId="0" fillId="0" borderId="3" xfId="0" applyNumberFormat="1" applyBorder="1" applyAlignment="1">
      <alignment/>
    </xf>
    <xf numFmtId="3" fontId="0" fillId="0" borderId="3" xfId="18" applyNumberFormat="1" applyBorder="1" applyAlignment="1">
      <alignment/>
    </xf>
    <xf numFmtId="9" fontId="3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18" applyNumberFormat="1" applyFon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18" applyNumberForma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6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1" fillId="0" borderId="5" xfId="18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5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7" xfId="18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6" fillId="0" borderId="7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9" fontId="0" fillId="0" borderId="3" xfId="0" applyNumberFormat="1" applyBorder="1" applyAlignment="1">
      <alignment/>
    </xf>
    <xf numFmtId="9" fontId="1" fillId="0" borderId="3" xfId="0" applyNumberFormat="1" applyFont="1" applyBorder="1" applyAlignment="1">
      <alignment/>
    </xf>
    <xf numFmtId="164" fontId="0" fillId="0" borderId="0" xfId="18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18" applyNumberForma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1" fillId="0" borderId="10" xfId="18" applyNumberFormat="1" applyFont="1" applyBorder="1" applyAlignment="1">
      <alignment/>
    </xf>
    <xf numFmtId="3" fontId="1" fillId="0" borderId="13" xfId="18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18" applyNumberFormat="1" applyBorder="1" applyAlignment="1">
      <alignment/>
    </xf>
    <xf numFmtId="3" fontId="0" fillId="0" borderId="13" xfId="18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3" xfId="18" applyNumberFormat="1" applyFont="1" applyBorder="1" applyAlignment="1">
      <alignment/>
    </xf>
    <xf numFmtId="9" fontId="3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" xfId="18" applyNumberFormat="1" applyFont="1" applyBorder="1" applyAlignment="1">
      <alignment/>
    </xf>
    <xf numFmtId="3" fontId="0" fillId="0" borderId="7" xfId="18" applyNumberFormat="1" applyBorder="1" applyAlignment="1">
      <alignment/>
    </xf>
    <xf numFmtId="3" fontId="3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7" xfId="0" applyBorder="1" applyAlignment="1">
      <alignment/>
    </xf>
    <xf numFmtId="3" fontId="11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6" xfId="0" applyFont="1" applyFill="1" applyBorder="1" applyAlignment="1">
      <alignment/>
    </xf>
    <xf numFmtId="1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0" fontId="0" fillId="2" borderId="3" xfId="0" applyFill="1" applyBorder="1" applyAlignment="1">
      <alignment/>
    </xf>
    <xf numFmtId="1" fontId="0" fillId="0" borderId="3" xfId="0" applyNumberFormat="1" applyBorder="1" applyAlignment="1">
      <alignment/>
    </xf>
    <xf numFmtId="0" fontId="0" fillId="3" borderId="3" xfId="0" applyFill="1" applyBorder="1" applyAlignment="1">
      <alignment/>
    </xf>
    <xf numFmtId="1" fontId="0" fillId="3" borderId="3" xfId="0" applyNumberFormat="1" applyFill="1" applyBorder="1" applyAlignment="1">
      <alignment/>
    </xf>
    <xf numFmtId="9" fontId="0" fillId="3" borderId="3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" xfId="0" applyFont="1" applyFill="1" applyBorder="1" applyAlignment="1">
      <alignment/>
    </xf>
    <xf numFmtId="0" fontId="0" fillId="2" borderId="7" xfId="0" applyFill="1" applyBorder="1" applyAlignment="1">
      <alignment/>
    </xf>
    <xf numFmtId="1" fontId="0" fillId="0" borderId="7" xfId="0" applyNumberFormat="1" applyBorder="1" applyAlignment="1">
      <alignment/>
    </xf>
    <xf numFmtId="0" fontId="0" fillId="3" borderId="7" xfId="0" applyFill="1" applyBorder="1" applyAlignment="1">
      <alignment/>
    </xf>
    <xf numFmtId="1" fontId="0" fillId="3" borderId="7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3" fontId="12" fillId="0" borderId="7" xfId="0" applyNumberFormat="1" applyFont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9" fontId="0" fillId="0" borderId="0" xfId="0" applyNumberFormat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9" fontId="0" fillId="0" borderId="7" xfId="0" applyNumberFormat="1" applyBorder="1" applyAlignment="1">
      <alignment/>
    </xf>
    <xf numFmtId="0" fontId="0" fillId="0" borderId="18" xfId="0" applyBorder="1" applyAlignment="1">
      <alignment/>
    </xf>
    <xf numFmtId="0" fontId="1" fillId="4" borderId="19" xfId="0" applyFont="1" applyFill="1" applyBorder="1" applyAlignment="1">
      <alignment/>
    </xf>
    <xf numFmtId="9" fontId="1" fillId="0" borderId="6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4" borderId="19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7" xfId="0" applyFill="1" applyBorder="1" applyAlignment="1">
      <alignment/>
    </xf>
    <xf numFmtId="3" fontId="0" fillId="0" borderId="7" xfId="0" applyNumberForma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9" fontId="1" fillId="0" borderId="23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3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2" topLeftCell="W8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Y34" sqref="Y34"/>
    </sheetView>
  </sheetViews>
  <sheetFormatPr defaultColWidth="9.140625" defaultRowHeight="12.75"/>
  <cols>
    <col min="1" max="1" width="33.421875" style="0" customWidth="1"/>
    <col min="2" max="2" width="16.00390625" style="0" customWidth="1"/>
    <col min="3" max="3" width="11.00390625" style="0" customWidth="1"/>
    <col min="4" max="4" width="12.28125" style="0" customWidth="1"/>
    <col min="5" max="5" width="12.7109375" style="0" customWidth="1"/>
    <col min="7" max="7" width="11.421875" style="0" customWidth="1"/>
    <col min="8" max="8" width="11.00390625" style="0" customWidth="1"/>
    <col min="10" max="10" width="11.7109375" style="0" customWidth="1"/>
    <col min="11" max="11" width="11.140625" style="0" customWidth="1"/>
    <col min="12" max="12" width="12.421875" style="0" bestFit="1" customWidth="1"/>
    <col min="13" max="13" width="10.140625" style="0" customWidth="1"/>
    <col min="14" max="14" width="10.00390625" style="0" customWidth="1"/>
    <col min="15" max="15" width="10.28125" style="0" customWidth="1"/>
    <col min="16" max="16" width="11.57421875" style="0" customWidth="1"/>
    <col min="17" max="17" width="11.7109375" style="0" customWidth="1"/>
    <col min="18" max="18" width="15.7109375" style="50" customWidth="1"/>
    <col min="19" max="19" width="15.140625" style="50" customWidth="1"/>
    <col min="20" max="20" width="17.00390625" style="50" customWidth="1"/>
    <col min="21" max="21" width="17.140625" style="50" customWidth="1"/>
    <col min="22" max="16384" width="9.140625" style="50" customWidth="1"/>
  </cols>
  <sheetData>
    <row r="1" spans="2:21" ht="12.75">
      <c r="B1" s="138" t="s">
        <v>13</v>
      </c>
      <c r="C1" s="139"/>
      <c r="D1" s="139"/>
      <c r="E1" s="139" t="s">
        <v>32</v>
      </c>
      <c r="F1" s="139"/>
      <c r="G1" s="139"/>
      <c r="H1" s="140" t="s">
        <v>33</v>
      </c>
      <c r="I1" s="140"/>
      <c r="J1" s="140"/>
      <c r="K1" s="140" t="s">
        <v>16</v>
      </c>
      <c r="L1" s="140"/>
      <c r="M1" s="140"/>
      <c r="N1" s="1" t="s">
        <v>14</v>
      </c>
      <c r="O1" s="27" t="s">
        <v>24</v>
      </c>
      <c r="P1" s="52" t="s">
        <v>25</v>
      </c>
      <c r="Q1" s="86"/>
      <c r="R1" s="127" t="s">
        <v>54</v>
      </c>
      <c r="S1" s="129" t="s">
        <v>54</v>
      </c>
      <c r="T1" s="131" t="s">
        <v>57</v>
      </c>
      <c r="U1" s="131" t="s">
        <v>57</v>
      </c>
    </row>
    <row r="2" spans="1:21" ht="13.5" thickBot="1">
      <c r="A2" s="56"/>
      <c r="B2" s="51" t="s">
        <v>1</v>
      </c>
      <c r="C2" s="2" t="s">
        <v>2</v>
      </c>
      <c r="D2" s="11" t="s">
        <v>35</v>
      </c>
      <c r="E2" s="2" t="s">
        <v>1</v>
      </c>
      <c r="F2" s="2" t="s">
        <v>2</v>
      </c>
      <c r="G2" s="11" t="s">
        <v>35</v>
      </c>
      <c r="H2" s="26" t="s">
        <v>1</v>
      </c>
      <c r="I2" s="26" t="s">
        <v>2</v>
      </c>
      <c r="J2" s="36" t="s">
        <v>35</v>
      </c>
      <c r="K2" s="26" t="s">
        <v>1</v>
      </c>
      <c r="L2" s="26" t="s">
        <v>2</v>
      </c>
      <c r="M2" s="36" t="s">
        <v>35</v>
      </c>
      <c r="N2" s="37" t="s">
        <v>1</v>
      </c>
      <c r="O2" s="2" t="s">
        <v>1</v>
      </c>
      <c r="P2" s="11" t="s">
        <v>1</v>
      </c>
      <c r="Q2" s="89" t="s">
        <v>35</v>
      </c>
      <c r="R2" s="128" t="s">
        <v>55</v>
      </c>
      <c r="S2" s="130" t="s">
        <v>56</v>
      </c>
      <c r="T2" s="132" t="s">
        <v>58</v>
      </c>
      <c r="U2" s="132" t="s">
        <v>59</v>
      </c>
    </row>
    <row r="3" spans="1:21" ht="13.5" thickTop="1">
      <c r="A3" s="57" t="s">
        <v>5</v>
      </c>
      <c r="B3" s="30">
        <v>4673683</v>
      </c>
      <c r="C3" s="17">
        <v>4724807</v>
      </c>
      <c r="D3" s="12">
        <f>SUM(B3:C3)</f>
        <v>9398490</v>
      </c>
      <c r="E3" s="9">
        <v>7911886</v>
      </c>
      <c r="F3" s="9">
        <v>976016</v>
      </c>
      <c r="G3" s="12">
        <f>SUM(E3:F3)</f>
        <v>8887902</v>
      </c>
      <c r="H3" s="17">
        <v>5284857</v>
      </c>
      <c r="I3" s="9">
        <v>624764</v>
      </c>
      <c r="J3" s="12">
        <f>SUM(H3:I3)</f>
        <v>5909621</v>
      </c>
      <c r="K3" s="17">
        <v>2218268</v>
      </c>
      <c r="L3" s="17">
        <v>11938</v>
      </c>
      <c r="M3" s="12">
        <f>SUM(K3:L3)</f>
        <v>2230206</v>
      </c>
      <c r="N3" s="38">
        <v>1332567</v>
      </c>
      <c r="O3" s="9">
        <v>3840745</v>
      </c>
      <c r="P3" s="12">
        <v>6139292</v>
      </c>
      <c r="Q3" s="87">
        <f>P3+O3+N3+M3+J3+G3+D3</f>
        <v>37738823</v>
      </c>
      <c r="S3" s="106">
        <f>Q3-Q11</f>
        <v>52645697</v>
      </c>
      <c r="T3" s="124">
        <f>Q3</f>
        <v>37738823</v>
      </c>
      <c r="U3" s="87">
        <f>Q3</f>
        <v>37738823</v>
      </c>
    </row>
    <row r="4" spans="1:21" ht="12.75">
      <c r="A4" s="57" t="s">
        <v>12</v>
      </c>
      <c r="B4" s="31">
        <f>SUM(B5:B9)</f>
        <v>6669750</v>
      </c>
      <c r="C4" s="18">
        <f>SUM(C5:C9)</f>
        <v>5021790</v>
      </c>
      <c r="D4" s="42">
        <f aca="true" t="shared" si="0" ref="D4:D9">SUM(B4:C4)</f>
        <v>11691540</v>
      </c>
      <c r="E4" s="3">
        <f>SUM(E5:E9)</f>
        <v>10209211</v>
      </c>
      <c r="F4" s="3">
        <f>SUM(F5:F9)</f>
        <v>1442977</v>
      </c>
      <c r="G4" s="42">
        <f aca="true" t="shared" si="1" ref="G4:G9">SUM(E4:F4)</f>
        <v>11652188</v>
      </c>
      <c r="H4" s="18">
        <f>SUM(H5:H9)</f>
        <v>6470711</v>
      </c>
      <c r="I4" s="3">
        <f>SUM(I5:I9)</f>
        <v>1185675</v>
      </c>
      <c r="J4" s="42">
        <f aca="true" t="shared" si="2" ref="J4:J9">SUM(H4:I4)</f>
        <v>7656386</v>
      </c>
      <c r="K4" s="18">
        <f>SUM(K5:K9)</f>
        <v>3891871</v>
      </c>
      <c r="L4" s="18">
        <f>SUM(L5:L9)</f>
        <v>326645</v>
      </c>
      <c r="M4" s="42">
        <f aca="true" t="shared" si="3" ref="M4:M9">SUM(K4:L4)</f>
        <v>4218516</v>
      </c>
      <c r="N4" s="39">
        <f>SUM(N5:N9)</f>
        <v>1868537</v>
      </c>
      <c r="O4" s="3">
        <f>SUM(O5:O9)</f>
        <v>6868090</v>
      </c>
      <c r="P4" s="13">
        <f>SUM(P5:P9)</f>
        <v>8690440</v>
      </c>
      <c r="Q4" s="88">
        <f aca="true" t="shared" si="4" ref="Q4:Q9">P4+O4+N4+M4+J4+G4+D4</f>
        <v>52645697</v>
      </c>
      <c r="S4" s="105"/>
      <c r="T4" s="125">
        <f>SUM(T5:T9)</f>
        <v>45349541</v>
      </c>
      <c r="U4" s="125">
        <f>SUM(U5:U9)</f>
        <v>42819541</v>
      </c>
    </row>
    <row r="5" spans="1:21" ht="12.75">
      <c r="A5" s="58" t="s">
        <v>9</v>
      </c>
      <c r="B5" s="32">
        <v>40126</v>
      </c>
      <c r="C5" s="34">
        <v>5272</v>
      </c>
      <c r="D5" s="25">
        <f t="shared" si="0"/>
        <v>45398</v>
      </c>
      <c r="E5" s="4">
        <v>25920</v>
      </c>
      <c r="F5" s="4">
        <v>462</v>
      </c>
      <c r="G5" s="25">
        <f t="shared" si="1"/>
        <v>26382</v>
      </c>
      <c r="H5" s="34">
        <v>31820</v>
      </c>
      <c r="I5" s="4">
        <v>2828</v>
      </c>
      <c r="J5" s="25">
        <f t="shared" si="2"/>
        <v>34648</v>
      </c>
      <c r="K5" s="34">
        <v>2343</v>
      </c>
      <c r="L5" s="34">
        <v>486</v>
      </c>
      <c r="M5" s="25">
        <f t="shared" si="3"/>
        <v>2829</v>
      </c>
      <c r="N5" s="40">
        <v>9780</v>
      </c>
      <c r="O5" s="4">
        <v>30705</v>
      </c>
      <c r="P5" s="25">
        <v>45931</v>
      </c>
      <c r="Q5" s="40">
        <f t="shared" si="4"/>
        <v>195673</v>
      </c>
      <c r="S5" s="105"/>
      <c r="T5" s="123">
        <f>Q5</f>
        <v>195673</v>
      </c>
      <c r="U5" s="123">
        <f>Q5</f>
        <v>195673</v>
      </c>
    </row>
    <row r="6" spans="1:21" ht="12.75">
      <c r="A6" s="58" t="s">
        <v>6</v>
      </c>
      <c r="B6" s="32">
        <v>5802581</v>
      </c>
      <c r="C6" s="34">
        <v>4514409</v>
      </c>
      <c r="D6" s="25">
        <f t="shared" si="0"/>
        <v>10316990</v>
      </c>
      <c r="E6" s="4">
        <v>9107557</v>
      </c>
      <c r="F6" s="4">
        <v>1290733</v>
      </c>
      <c r="G6" s="25">
        <f t="shared" si="1"/>
        <v>10398290</v>
      </c>
      <c r="H6" s="34">
        <v>5801339</v>
      </c>
      <c r="I6" s="4">
        <v>1096788</v>
      </c>
      <c r="J6" s="25">
        <f t="shared" si="2"/>
        <v>6898127</v>
      </c>
      <c r="K6" s="34">
        <v>3632778</v>
      </c>
      <c r="L6" s="34">
        <v>283787</v>
      </c>
      <c r="M6" s="25">
        <f t="shared" si="3"/>
        <v>3916565</v>
      </c>
      <c r="N6" s="40">
        <v>1715369</v>
      </c>
      <c r="O6" s="4">
        <v>6063467</v>
      </c>
      <c r="P6" s="25">
        <v>7777348</v>
      </c>
      <c r="Q6" s="40">
        <f t="shared" si="4"/>
        <v>47086156</v>
      </c>
      <c r="R6" s="97">
        <f>Q6+Q11</f>
        <v>32179282</v>
      </c>
      <c r="S6" s="106"/>
      <c r="T6" s="122">
        <f>T19*T18</f>
        <v>39790000</v>
      </c>
      <c r="U6" s="122">
        <f>U19*U18</f>
        <v>37260000</v>
      </c>
    </row>
    <row r="7" spans="1:21" ht="12.75">
      <c r="A7" s="58" t="s">
        <v>10</v>
      </c>
      <c r="B7" s="32">
        <v>325716</v>
      </c>
      <c r="C7" s="34">
        <v>139572</v>
      </c>
      <c r="D7" s="25">
        <f t="shared" si="0"/>
        <v>465288</v>
      </c>
      <c r="E7" s="4">
        <v>529007</v>
      </c>
      <c r="F7" s="4">
        <v>80695</v>
      </c>
      <c r="G7" s="25">
        <f t="shared" si="1"/>
        <v>609702</v>
      </c>
      <c r="H7" s="45">
        <v>301788</v>
      </c>
      <c r="I7" s="4">
        <v>39737</v>
      </c>
      <c r="J7" s="25">
        <f t="shared" si="2"/>
        <v>341525</v>
      </c>
      <c r="K7" s="34">
        <v>70467</v>
      </c>
      <c r="L7" s="34">
        <v>5810</v>
      </c>
      <c r="M7" s="25">
        <f t="shared" si="3"/>
        <v>76277</v>
      </c>
      <c r="N7" s="40">
        <v>60929</v>
      </c>
      <c r="O7" s="4">
        <v>424528</v>
      </c>
      <c r="P7" s="25">
        <v>420580</v>
      </c>
      <c r="Q7" s="40">
        <f t="shared" si="4"/>
        <v>2398829</v>
      </c>
      <c r="S7" s="105"/>
      <c r="T7" s="123">
        <f>Q7</f>
        <v>2398829</v>
      </c>
      <c r="U7" s="123">
        <f>Q7</f>
        <v>2398829</v>
      </c>
    </row>
    <row r="8" spans="1:21" ht="12.75">
      <c r="A8" s="58" t="s">
        <v>7</v>
      </c>
      <c r="B8" s="32">
        <v>20936</v>
      </c>
      <c r="C8" s="34">
        <v>5416</v>
      </c>
      <c r="D8" s="25">
        <f t="shared" si="0"/>
        <v>26352</v>
      </c>
      <c r="E8" s="4">
        <v>19532</v>
      </c>
      <c r="F8" s="4">
        <v>2340</v>
      </c>
      <c r="G8" s="25">
        <f t="shared" si="1"/>
        <v>21872</v>
      </c>
      <c r="H8" s="46">
        <v>2958</v>
      </c>
      <c r="I8" s="4">
        <v>2145</v>
      </c>
      <c r="J8" s="25">
        <f t="shared" si="2"/>
        <v>5103</v>
      </c>
      <c r="K8" s="34">
        <v>2086</v>
      </c>
      <c r="L8" s="34">
        <v>0</v>
      </c>
      <c r="M8" s="25">
        <f t="shared" si="3"/>
        <v>2086</v>
      </c>
      <c r="N8" s="40">
        <v>310</v>
      </c>
      <c r="O8" s="4">
        <v>10785</v>
      </c>
      <c r="P8" s="25">
        <v>13226</v>
      </c>
      <c r="Q8" s="40">
        <f t="shared" si="4"/>
        <v>79734</v>
      </c>
      <c r="S8" s="105"/>
      <c r="T8" s="123">
        <f>Q8</f>
        <v>79734</v>
      </c>
      <c r="U8" s="123">
        <f>Q8</f>
        <v>79734</v>
      </c>
    </row>
    <row r="9" spans="1:21" ht="12.75">
      <c r="A9" s="58" t="s">
        <v>11</v>
      </c>
      <c r="B9" s="32">
        <v>480391</v>
      </c>
      <c r="C9" s="34">
        <v>357121</v>
      </c>
      <c r="D9" s="25">
        <f t="shared" si="0"/>
        <v>837512</v>
      </c>
      <c r="E9" s="4">
        <v>527195</v>
      </c>
      <c r="F9" s="4">
        <v>68747</v>
      </c>
      <c r="G9" s="25">
        <f t="shared" si="1"/>
        <v>595942</v>
      </c>
      <c r="H9" s="34">
        <v>332806</v>
      </c>
      <c r="I9" s="4">
        <v>44177</v>
      </c>
      <c r="J9" s="25">
        <f t="shared" si="2"/>
        <v>376983</v>
      </c>
      <c r="K9" s="34">
        <v>184197</v>
      </c>
      <c r="L9" s="34">
        <v>36562</v>
      </c>
      <c r="M9" s="25">
        <f t="shared" si="3"/>
        <v>220759</v>
      </c>
      <c r="N9" s="40">
        <v>82149</v>
      </c>
      <c r="O9" s="4">
        <v>338605</v>
      </c>
      <c r="P9" s="25">
        <v>433355</v>
      </c>
      <c r="Q9" s="40">
        <f t="shared" si="4"/>
        <v>2885305</v>
      </c>
      <c r="S9" s="105"/>
      <c r="T9" s="123">
        <f>Q9</f>
        <v>2885305</v>
      </c>
      <c r="U9" s="123">
        <f>Q9</f>
        <v>2885305</v>
      </c>
    </row>
    <row r="10" spans="1:21" ht="12.75">
      <c r="A10" s="59"/>
      <c r="B10" s="47"/>
      <c r="C10" s="34"/>
      <c r="D10" s="28"/>
      <c r="E10" s="5"/>
      <c r="F10" s="4"/>
      <c r="G10" s="28"/>
      <c r="H10" s="20"/>
      <c r="I10" s="4"/>
      <c r="J10" s="28"/>
      <c r="K10" s="20"/>
      <c r="L10" s="34"/>
      <c r="M10" s="28"/>
      <c r="N10" s="82"/>
      <c r="O10" s="5"/>
      <c r="P10" s="15"/>
      <c r="Q10" s="86"/>
      <c r="S10" s="105"/>
      <c r="T10" s="122"/>
      <c r="U10" s="122"/>
    </row>
    <row r="11" spans="1:21" ht="12.75">
      <c r="A11" s="57" t="s">
        <v>8</v>
      </c>
      <c r="B11" s="33">
        <f>B3-B4</f>
        <v>-1996067</v>
      </c>
      <c r="C11" s="24">
        <f>C3-C4</f>
        <v>-296983</v>
      </c>
      <c r="D11" s="22">
        <f>SUM(B11:C11)</f>
        <v>-2293050</v>
      </c>
      <c r="E11" s="8">
        <f aca="true" t="shared" si="5" ref="E11:Q11">E3-E4</f>
        <v>-2297325</v>
      </c>
      <c r="F11" s="8">
        <f t="shared" si="5"/>
        <v>-466961</v>
      </c>
      <c r="G11" s="22">
        <f t="shared" si="5"/>
        <v>-2764286</v>
      </c>
      <c r="H11" s="24">
        <f t="shared" si="5"/>
        <v>-1185854</v>
      </c>
      <c r="I11" s="8">
        <f t="shared" si="5"/>
        <v>-560911</v>
      </c>
      <c r="J11" s="22">
        <f t="shared" si="5"/>
        <v>-1746765</v>
      </c>
      <c r="K11" s="24">
        <f t="shared" si="5"/>
        <v>-1673603</v>
      </c>
      <c r="L11" s="24">
        <f t="shared" si="5"/>
        <v>-314707</v>
      </c>
      <c r="M11" s="22">
        <f t="shared" si="5"/>
        <v>-1988310</v>
      </c>
      <c r="N11" s="83">
        <f t="shared" si="5"/>
        <v>-535970</v>
      </c>
      <c r="O11" s="22">
        <f t="shared" si="5"/>
        <v>-3027345</v>
      </c>
      <c r="P11" s="83">
        <f t="shared" si="5"/>
        <v>-2551148</v>
      </c>
      <c r="Q11" s="104">
        <f t="shared" si="5"/>
        <v>-14906874</v>
      </c>
      <c r="S11" s="105"/>
      <c r="T11" s="125">
        <f>T3-T4</f>
        <v>-7610718</v>
      </c>
      <c r="U11" s="125">
        <f>U3-U4</f>
        <v>-5080718</v>
      </c>
    </row>
    <row r="12" spans="2:21" ht="12.75">
      <c r="B12" s="71"/>
      <c r="C12" s="71"/>
      <c r="D12" s="28"/>
      <c r="G12" s="28"/>
      <c r="J12" s="28"/>
      <c r="M12" s="28"/>
      <c r="N12" s="86"/>
      <c r="O12" s="28"/>
      <c r="P12" s="86"/>
      <c r="Q12" s="86"/>
      <c r="S12" s="105"/>
      <c r="T12" s="122"/>
      <c r="U12" s="122"/>
    </row>
    <row r="13" spans="1:23" ht="12.75">
      <c r="A13" s="48" t="s">
        <v>15</v>
      </c>
      <c r="B13" s="48"/>
      <c r="C13" s="48"/>
      <c r="D13" s="92">
        <v>24269</v>
      </c>
      <c r="E13" s="48"/>
      <c r="F13" s="48"/>
      <c r="G13" s="92">
        <v>32640</v>
      </c>
      <c r="H13" s="48"/>
      <c r="I13" s="48"/>
      <c r="J13" s="92">
        <v>14156</v>
      </c>
      <c r="K13" s="48"/>
      <c r="L13" s="48"/>
      <c r="M13" s="92">
        <v>6064</v>
      </c>
      <c r="N13" s="99">
        <v>5175</v>
      </c>
      <c r="O13" s="92">
        <v>15142</v>
      </c>
      <c r="P13" s="99">
        <v>23972</v>
      </c>
      <c r="Q13" s="99">
        <f>SUM(B13:P13)</f>
        <v>121418</v>
      </c>
      <c r="R13" s="48">
        <v>121418</v>
      </c>
      <c r="S13" s="92">
        <f>S3/S14</f>
        <v>166595.92947325524</v>
      </c>
      <c r="T13" s="99">
        <v>121418</v>
      </c>
      <c r="U13" s="99">
        <f>R13</f>
        <v>121418</v>
      </c>
      <c r="V13" s="50">
        <f>U13/12</f>
        <v>10118.166666666666</v>
      </c>
      <c r="W13" s="50" t="s">
        <v>61</v>
      </c>
    </row>
    <row r="14" spans="1:21" ht="12.75">
      <c r="A14" t="s">
        <v>40</v>
      </c>
      <c r="D14" s="25">
        <f>D3/D13</f>
        <v>387.2631752441386</v>
      </c>
      <c r="G14" s="25">
        <f>G3/G13</f>
        <v>272.3009191176471</v>
      </c>
      <c r="J14" s="25">
        <f>J3/J13</f>
        <v>417.4640435151173</v>
      </c>
      <c r="M14" s="25">
        <f>M3/M13</f>
        <v>367.77803430079155</v>
      </c>
      <c r="N14" s="40">
        <f>N3/N13</f>
        <v>257.5008695652174</v>
      </c>
      <c r="O14" s="25">
        <f>O3/O13</f>
        <v>253.64846123365473</v>
      </c>
      <c r="P14" s="40">
        <f>P3/P13</f>
        <v>256.10261972301015</v>
      </c>
      <c r="Q14" s="40">
        <f>(P14+O14+N14+M14+J14+G14+D14)/7</f>
        <v>316.0083032427966</v>
      </c>
      <c r="S14" s="106">
        <f>Q14</f>
        <v>316.0083032427966</v>
      </c>
      <c r="T14" s="122"/>
      <c r="U14" s="122"/>
    </row>
    <row r="15" spans="1:21" ht="12.75">
      <c r="A15" t="s">
        <v>18</v>
      </c>
      <c r="D15" s="93">
        <f>D6/D13</f>
        <v>425.10981086983395</v>
      </c>
      <c r="G15" s="93">
        <f>G6/G13</f>
        <v>318.5750612745098</v>
      </c>
      <c r="J15" s="93">
        <f>J6/J13</f>
        <v>487.29351511726475</v>
      </c>
      <c r="M15" s="93">
        <f>M6/M13</f>
        <v>645.871536939314</v>
      </c>
      <c r="N15" s="100">
        <f>N6/N13</f>
        <v>331.47227053140097</v>
      </c>
      <c r="O15" s="93">
        <f>O6/O13</f>
        <v>400.44029850746267</v>
      </c>
      <c r="P15" s="100">
        <f>P6/P13</f>
        <v>324.43467378608375</v>
      </c>
      <c r="Q15" s="40">
        <f>(P15+O15+N15+M15+J15+G15+D15)/7</f>
        <v>419.0281667179814</v>
      </c>
      <c r="S15" s="105"/>
      <c r="T15" s="122"/>
      <c r="U15" s="122"/>
    </row>
    <row r="16" spans="1:21" ht="12.75">
      <c r="A16" t="s">
        <v>17</v>
      </c>
      <c r="D16" s="93">
        <f>D4/D13</f>
        <v>481.7479088549178</v>
      </c>
      <c r="G16" s="93">
        <f>G4/G13</f>
        <v>356.9910539215686</v>
      </c>
      <c r="J16" s="93">
        <f>J4/J13</f>
        <v>540.8580107374964</v>
      </c>
      <c r="M16" s="93">
        <f>M4/M13</f>
        <v>695.665567282322</v>
      </c>
      <c r="N16" s="100">
        <f>N4/N13</f>
        <v>361.06995169082126</v>
      </c>
      <c r="O16" s="93">
        <f>O4/O13</f>
        <v>453.5787874785365</v>
      </c>
      <c r="P16" s="100">
        <f>P4/P13</f>
        <v>362.52461204738864</v>
      </c>
      <c r="Q16" s="40">
        <f>(P16+O16+N16+M16+J16+G16+D16)/7</f>
        <v>464.63369885900727</v>
      </c>
      <c r="S16" s="105"/>
      <c r="T16" s="122"/>
      <c r="U16" s="122"/>
    </row>
    <row r="17" spans="4:21" ht="12.75">
      <c r="D17" s="28"/>
      <c r="G17" s="28"/>
      <c r="J17" s="28"/>
      <c r="M17" s="28"/>
      <c r="N17" s="86"/>
      <c r="O17" s="28"/>
      <c r="P17" s="86"/>
      <c r="Q17" s="86"/>
      <c r="S17" s="105"/>
      <c r="T17" s="122"/>
      <c r="U17" s="122"/>
    </row>
    <row r="18" spans="1:21" ht="12.75">
      <c r="A18" s="49" t="s">
        <v>19</v>
      </c>
      <c r="B18" s="49"/>
      <c r="C18" s="49"/>
      <c r="D18" s="94">
        <v>230</v>
      </c>
      <c r="E18" s="49"/>
      <c r="F18" s="49"/>
      <c r="G18" s="94">
        <v>230</v>
      </c>
      <c r="H18" s="49"/>
      <c r="I18" s="49"/>
      <c r="J18" s="94">
        <v>230</v>
      </c>
      <c r="K18" s="49"/>
      <c r="L18" s="49"/>
      <c r="M18" s="94">
        <v>230</v>
      </c>
      <c r="N18" s="101">
        <v>230</v>
      </c>
      <c r="O18" s="94">
        <v>230</v>
      </c>
      <c r="P18" s="101">
        <v>230</v>
      </c>
      <c r="Q18" s="101">
        <v>230</v>
      </c>
      <c r="R18" s="49">
        <v>230</v>
      </c>
      <c r="S18" s="94">
        <v>230</v>
      </c>
      <c r="T18" s="101">
        <v>230</v>
      </c>
      <c r="U18" s="101">
        <v>230</v>
      </c>
    </row>
    <row r="19" spans="1:21" ht="12.75">
      <c r="A19" s="49" t="s">
        <v>38</v>
      </c>
      <c r="B19" s="49"/>
      <c r="C19" s="49"/>
      <c r="D19" s="95">
        <f>D6/D18</f>
        <v>44856.47826086957</v>
      </c>
      <c r="E19" s="49"/>
      <c r="F19" s="49"/>
      <c r="G19" s="95">
        <f>G6/G18</f>
        <v>45209.95652173913</v>
      </c>
      <c r="H19" s="49"/>
      <c r="I19" s="49"/>
      <c r="J19" s="95">
        <f>J6/J18</f>
        <v>29991.85652173913</v>
      </c>
      <c r="K19" s="49"/>
      <c r="L19" s="49"/>
      <c r="M19" s="95">
        <f>M6/M18</f>
        <v>17028.543478260868</v>
      </c>
      <c r="N19" s="102">
        <f>N6/N18</f>
        <v>7458.126086956522</v>
      </c>
      <c r="O19" s="95">
        <f>O6/O18</f>
        <v>26362.9</v>
      </c>
      <c r="P19" s="102">
        <f>P6/P18</f>
        <v>33814.556521739134</v>
      </c>
      <c r="Q19" s="102">
        <f>SUM(B19:P19)</f>
        <v>204722.41739130436</v>
      </c>
      <c r="R19" s="90">
        <f>R6/R18</f>
        <v>139909.92173913043</v>
      </c>
      <c r="S19" s="107">
        <f>Q19</f>
        <v>204722.41739130436</v>
      </c>
      <c r="T19" s="101">
        <v>173000</v>
      </c>
      <c r="U19" s="101">
        <v>162000</v>
      </c>
    </row>
    <row r="20" spans="1:21" ht="12.75">
      <c r="A20" s="49" t="s">
        <v>39</v>
      </c>
      <c r="B20" s="49"/>
      <c r="C20" s="49"/>
      <c r="D20" s="96">
        <f>D13/D19</f>
        <v>0.5410366783335061</v>
      </c>
      <c r="E20" s="91"/>
      <c r="F20" s="91"/>
      <c r="G20" s="96">
        <f>G13/G19</f>
        <v>0.721964861530117</v>
      </c>
      <c r="H20" s="49"/>
      <c r="I20" s="49"/>
      <c r="J20" s="96">
        <f>J13/J19</f>
        <v>0.4719947893101997</v>
      </c>
      <c r="K20" s="49"/>
      <c r="L20" s="49"/>
      <c r="M20" s="96">
        <f aca="true" t="shared" si="6" ref="M20:U20">M13/M19</f>
        <v>0.35610796705786835</v>
      </c>
      <c r="N20" s="103">
        <f t="shared" si="6"/>
        <v>0.693874029436232</v>
      </c>
      <c r="O20" s="96">
        <f t="shared" si="6"/>
        <v>0.574367766823832</v>
      </c>
      <c r="P20" s="103">
        <f t="shared" si="6"/>
        <v>0.7089254589096436</v>
      </c>
      <c r="Q20" s="103">
        <f t="shared" si="6"/>
        <v>0.5930860017538913</v>
      </c>
      <c r="R20" s="91">
        <f t="shared" si="6"/>
        <v>0.8678298042821465</v>
      </c>
      <c r="S20" s="96">
        <f t="shared" si="6"/>
        <v>0.8137649584062182</v>
      </c>
      <c r="T20" s="103">
        <f t="shared" si="6"/>
        <v>0.7018381502890173</v>
      </c>
      <c r="U20" s="103">
        <f t="shared" si="6"/>
        <v>0.7494938271604938</v>
      </c>
    </row>
    <row r="21" spans="1:23" s="137" customFormat="1" ht="12.75">
      <c r="A21" s="133" t="s">
        <v>60</v>
      </c>
      <c r="B21" s="133"/>
      <c r="C21" s="133"/>
      <c r="D21" s="134">
        <f>D19/1540</f>
        <v>29.12758328627894</v>
      </c>
      <c r="E21" s="133"/>
      <c r="F21" s="133"/>
      <c r="G21" s="134">
        <f>G19/1540</f>
        <v>29.35711462450593</v>
      </c>
      <c r="H21" s="133"/>
      <c r="I21" s="133"/>
      <c r="J21" s="134">
        <f>J19/1540</f>
        <v>19.475231507622812</v>
      </c>
      <c r="K21" s="133"/>
      <c r="L21" s="133"/>
      <c r="M21" s="134">
        <f aca="true" t="shared" si="7" ref="M21:U21">M19/1540</f>
        <v>11.05749576510446</v>
      </c>
      <c r="N21" s="135">
        <f t="shared" si="7"/>
        <v>4.842939017504235</v>
      </c>
      <c r="O21" s="134">
        <f t="shared" si="7"/>
        <v>17.118766233766234</v>
      </c>
      <c r="P21" s="135">
        <f t="shared" si="7"/>
        <v>21.95750423489554</v>
      </c>
      <c r="Q21" s="135">
        <f t="shared" si="7"/>
        <v>132.93663466967817</v>
      </c>
      <c r="R21" s="136">
        <f t="shared" si="7"/>
        <v>90.85059853190288</v>
      </c>
      <c r="S21" s="134">
        <f t="shared" si="7"/>
        <v>132.93663466967817</v>
      </c>
      <c r="T21" s="135">
        <f t="shared" si="7"/>
        <v>112.33766233766234</v>
      </c>
      <c r="U21" s="135">
        <f t="shared" si="7"/>
        <v>105.1948051948052</v>
      </c>
      <c r="V21" s="133"/>
      <c r="W21" s="133"/>
    </row>
    <row r="22" spans="2:4" ht="12.75">
      <c r="B22" s="23"/>
      <c r="D22" s="71"/>
    </row>
    <row r="23" ht="13.5" thickBot="1">
      <c r="A23" s="98" t="s">
        <v>42</v>
      </c>
    </row>
    <row r="24" spans="1:17" ht="13.5" thickTop="1">
      <c r="A24" s="7" t="s">
        <v>2</v>
      </c>
      <c r="B24" s="7">
        <v>258</v>
      </c>
      <c r="Q24">
        <f>(1100*12)*316</f>
        <v>4171200</v>
      </c>
    </row>
    <row r="25" spans="1:2" ht="12.75">
      <c r="A25" s="7" t="s">
        <v>1</v>
      </c>
      <c r="B25" s="7">
        <v>238</v>
      </c>
    </row>
    <row r="26" spans="1:17" ht="12.75">
      <c r="A26" s="7" t="s">
        <v>21</v>
      </c>
      <c r="B26" s="7">
        <v>200</v>
      </c>
      <c r="Q26" s="126">
        <f>1100*12</f>
        <v>13200</v>
      </c>
    </row>
    <row r="27" spans="1:2" ht="12.75">
      <c r="A27" s="7" t="s">
        <v>41</v>
      </c>
      <c r="B27" s="7">
        <v>289</v>
      </c>
    </row>
    <row r="29" ht="13.5" thickBot="1">
      <c r="A29" s="108" t="s">
        <v>43</v>
      </c>
    </row>
    <row r="30" spans="1:4" ht="13.5" thickTop="1">
      <c r="A30" s="7" t="s">
        <v>44</v>
      </c>
      <c r="B30" s="7">
        <v>916</v>
      </c>
      <c r="C30" s="109">
        <v>0.7</v>
      </c>
      <c r="D30">
        <f>B30*0.7</f>
        <v>641.1999999999999</v>
      </c>
    </row>
    <row r="31" spans="1:4" ht="12.75">
      <c r="A31" s="7" t="s">
        <v>45</v>
      </c>
      <c r="B31" s="7">
        <v>475</v>
      </c>
      <c r="D31">
        <v>475</v>
      </c>
    </row>
    <row r="32" spans="1:4" ht="12.75">
      <c r="A32" s="7" t="s">
        <v>46</v>
      </c>
      <c r="B32" s="7">
        <v>425</v>
      </c>
      <c r="D32">
        <f>SUM(D30:D31)</f>
        <v>1116.1999999999998</v>
      </c>
    </row>
    <row r="33" spans="1:2" ht="12.75">
      <c r="A33" s="7" t="s">
        <v>47</v>
      </c>
      <c r="B33">
        <f>SUM(B30:B32)</f>
        <v>1816</v>
      </c>
    </row>
  </sheetData>
  <mergeCells count="4"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31" sqref="E31"/>
    </sheetView>
  </sheetViews>
  <sheetFormatPr defaultColWidth="9.140625" defaultRowHeight="12.75"/>
  <cols>
    <col min="1" max="1" width="12.28125" style="0" customWidth="1"/>
    <col min="2" max="2" width="14.421875" style="0" customWidth="1"/>
    <col min="3" max="3" width="12.421875" style="0" customWidth="1"/>
    <col min="4" max="4" width="16.00390625" style="0" customWidth="1"/>
    <col min="5" max="5" width="13.57421875" style="0" customWidth="1"/>
    <col min="6" max="6" width="15.57421875" style="0" customWidth="1"/>
  </cols>
  <sheetData>
    <row r="1" spans="1:6" ht="13.5" thickTop="1">
      <c r="A1" s="110"/>
      <c r="B1" s="111" t="s">
        <v>48</v>
      </c>
      <c r="C1" s="111" t="s">
        <v>49</v>
      </c>
      <c r="D1" s="111" t="s">
        <v>51</v>
      </c>
      <c r="E1" s="111" t="s">
        <v>52</v>
      </c>
      <c r="F1" s="112" t="s">
        <v>53</v>
      </c>
    </row>
    <row r="2" spans="1:6" ht="13.5" thickBot="1">
      <c r="A2" s="119"/>
      <c r="B2" s="120"/>
      <c r="C2" s="120" t="s">
        <v>50</v>
      </c>
      <c r="D2" s="120" t="s">
        <v>50</v>
      </c>
      <c r="E2" s="120" t="s">
        <v>50</v>
      </c>
      <c r="F2" s="121" t="s">
        <v>50</v>
      </c>
    </row>
    <row r="3" spans="1:6" ht="13.5" thickTop="1">
      <c r="A3" s="113" t="s">
        <v>13</v>
      </c>
      <c r="B3" s="114">
        <v>0.54</v>
      </c>
      <c r="C3" s="86">
        <v>387</v>
      </c>
      <c r="D3" s="86">
        <v>425</v>
      </c>
      <c r="E3" s="86">
        <v>482</v>
      </c>
      <c r="F3" s="115">
        <f>C3-E3</f>
        <v>-95</v>
      </c>
    </row>
    <row r="4" spans="1:6" ht="12.75">
      <c r="A4" s="113" t="s">
        <v>32</v>
      </c>
      <c r="B4" s="114">
        <v>0.72</v>
      </c>
      <c r="C4" s="86">
        <v>272</v>
      </c>
      <c r="D4" s="86">
        <v>319</v>
      </c>
      <c r="E4" s="86">
        <v>357</v>
      </c>
      <c r="F4" s="115">
        <f aca="true" t="shared" si="0" ref="F4:F10">C4-E4</f>
        <v>-85</v>
      </c>
    </row>
    <row r="5" spans="1:6" ht="12.75">
      <c r="A5" s="113" t="s">
        <v>33</v>
      </c>
      <c r="B5" s="114">
        <v>0.47</v>
      </c>
      <c r="C5" s="86">
        <v>417</v>
      </c>
      <c r="D5" s="86">
        <v>487</v>
      </c>
      <c r="E5" s="86">
        <v>541</v>
      </c>
      <c r="F5" s="115">
        <f t="shared" si="0"/>
        <v>-124</v>
      </c>
    </row>
    <row r="6" spans="1:6" ht="12.75">
      <c r="A6" s="113" t="s">
        <v>16</v>
      </c>
      <c r="B6" s="114">
        <v>0.36</v>
      </c>
      <c r="C6" s="86">
        <v>368</v>
      </c>
      <c r="D6" s="86">
        <v>646</v>
      </c>
      <c r="E6" s="86">
        <v>696</v>
      </c>
      <c r="F6" s="115">
        <f t="shared" si="0"/>
        <v>-328</v>
      </c>
    </row>
    <row r="7" spans="1:6" ht="12.75">
      <c r="A7" s="113" t="s">
        <v>14</v>
      </c>
      <c r="B7" s="114">
        <v>0.69</v>
      </c>
      <c r="C7" s="86">
        <v>258</v>
      </c>
      <c r="D7" s="86">
        <v>331</v>
      </c>
      <c r="E7" s="86">
        <v>361</v>
      </c>
      <c r="F7" s="115">
        <f t="shared" si="0"/>
        <v>-103</v>
      </c>
    </row>
    <row r="8" spans="1:6" ht="12.75">
      <c r="A8" s="113" t="s">
        <v>24</v>
      </c>
      <c r="B8" s="114">
        <v>0.57</v>
      </c>
      <c r="C8" s="86">
        <v>254</v>
      </c>
      <c r="D8" s="86">
        <v>400</v>
      </c>
      <c r="E8" s="86">
        <v>454</v>
      </c>
      <c r="F8" s="115">
        <f t="shared" si="0"/>
        <v>-200</v>
      </c>
    </row>
    <row r="9" spans="1:6" ht="12.75">
      <c r="A9" s="113" t="s">
        <v>25</v>
      </c>
      <c r="B9" s="114">
        <v>0.71</v>
      </c>
      <c r="C9" s="86">
        <v>256</v>
      </c>
      <c r="D9" s="86">
        <v>324</v>
      </c>
      <c r="E9" s="86">
        <v>363</v>
      </c>
      <c r="F9" s="115">
        <f t="shared" si="0"/>
        <v>-107</v>
      </c>
    </row>
    <row r="10" spans="1:6" ht="13.5" thickBot="1">
      <c r="A10" s="116" t="s">
        <v>35</v>
      </c>
      <c r="B10" s="117">
        <v>0.59</v>
      </c>
      <c r="C10" s="37">
        <v>316</v>
      </c>
      <c r="D10" s="37">
        <v>419</v>
      </c>
      <c r="E10" s="37">
        <v>465</v>
      </c>
      <c r="F10" s="118">
        <f t="shared" si="0"/>
        <v>-149</v>
      </c>
    </row>
    <row r="11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K1">
      <selection activeCell="M25" sqref="M25"/>
    </sheetView>
  </sheetViews>
  <sheetFormatPr defaultColWidth="9.140625" defaultRowHeight="12.75"/>
  <cols>
    <col min="1" max="1" width="33.28125" style="0" customWidth="1"/>
    <col min="2" max="2" width="12.7109375" style="0" customWidth="1"/>
    <col min="3" max="5" width="11.8515625" style="0" customWidth="1"/>
    <col min="6" max="8" width="15.28125" style="0" customWidth="1"/>
    <col min="9" max="9" width="10.57421875" style="0" customWidth="1"/>
    <col min="10" max="10" width="11.140625" style="0" customWidth="1"/>
    <col min="11" max="12" width="14.140625" style="0" customWidth="1"/>
    <col min="13" max="13" width="11.28125" style="0" customWidth="1"/>
    <col min="15" max="15" width="13.8515625" style="0" customWidth="1"/>
    <col min="16" max="16" width="10.7109375" style="0" bestFit="1" customWidth="1"/>
  </cols>
  <sheetData>
    <row r="1" ht="14.25">
      <c r="A1" s="10" t="s">
        <v>0</v>
      </c>
    </row>
    <row r="2" spans="1:15" s="50" customFormat="1" ht="12.75">
      <c r="A2" s="55"/>
      <c r="B2" s="141" t="s">
        <v>1</v>
      </c>
      <c r="C2" s="140"/>
      <c r="D2" s="140"/>
      <c r="E2" s="140"/>
      <c r="F2" s="140"/>
      <c r="G2" s="140"/>
      <c r="H2" s="142"/>
      <c r="I2" s="140" t="s">
        <v>2</v>
      </c>
      <c r="J2" s="143"/>
      <c r="K2" s="143"/>
      <c r="L2" s="140"/>
      <c r="M2" s="141" t="s">
        <v>34</v>
      </c>
      <c r="N2" s="142"/>
      <c r="O2" s="53"/>
    </row>
    <row r="3" spans="1:15" s="50" customFormat="1" ht="13.5" thickBot="1">
      <c r="A3" s="56"/>
      <c r="B3" s="56" t="s">
        <v>13</v>
      </c>
      <c r="C3" s="26" t="s">
        <v>14</v>
      </c>
      <c r="D3" s="26" t="s">
        <v>23</v>
      </c>
      <c r="E3" s="26" t="s">
        <v>24</v>
      </c>
      <c r="F3" s="26" t="s">
        <v>25</v>
      </c>
      <c r="G3" s="26" t="s">
        <v>33</v>
      </c>
      <c r="H3" s="60" t="s">
        <v>16</v>
      </c>
      <c r="I3" s="26" t="s">
        <v>13</v>
      </c>
      <c r="J3" s="26" t="s">
        <v>32</v>
      </c>
      <c r="K3" s="26" t="s">
        <v>33</v>
      </c>
      <c r="L3" s="26" t="s">
        <v>16</v>
      </c>
      <c r="M3" s="56" t="s">
        <v>3</v>
      </c>
      <c r="N3" s="60" t="s">
        <v>4</v>
      </c>
      <c r="O3" s="54" t="s">
        <v>26</v>
      </c>
    </row>
    <row r="4" spans="1:29" ht="13.5" thickTop="1">
      <c r="A4" s="57" t="s">
        <v>5</v>
      </c>
      <c r="B4" s="61">
        <v>4673683</v>
      </c>
      <c r="C4" s="17">
        <v>1332567</v>
      </c>
      <c r="D4" s="17">
        <v>7911886</v>
      </c>
      <c r="E4" s="17">
        <v>3840745</v>
      </c>
      <c r="F4" s="17">
        <v>6139292</v>
      </c>
      <c r="G4" s="17">
        <v>5284857</v>
      </c>
      <c r="H4" s="62">
        <v>2218268</v>
      </c>
      <c r="I4" s="9">
        <v>4724807</v>
      </c>
      <c r="J4" s="9">
        <v>976016</v>
      </c>
      <c r="K4" s="9">
        <v>624764</v>
      </c>
      <c r="L4" s="17">
        <v>11938</v>
      </c>
      <c r="M4" s="61">
        <v>4300413</v>
      </c>
      <c r="N4" s="62">
        <v>2829299</v>
      </c>
      <c r="O4" s="75">
        <f aca="true" t="shared" si="0" ref="O4:O12">SUM(B4:N4)</f>
        <v>44868535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57" t="s">
        <v>12</v>
      </c>
      <c r="B5" s="63">
        <f aca="true" t="shared" si="1" ref="B5:N5">SUM(B6:B10)</f>
        <v>6669750</v>
      </c>
      <c r="C5" s="18">
        <f t="shared" si="1"/>
        <v>1868537</v>
      </c>
      <c r="D5" s="18">
        <f t="shared" si="1"/>
        <v>10209211</v>
      </c>
      <c r="E5" s="18">
        <f t="shared" si="1"/>
        <v>6868090</v>
      </c>
      <c r="F5" s="18">
        <f t="shared" si="1"/>
        <v>8690440</v>
      </c>
      <c r="G5" s="18">
        <f t="shared" si="1"/>
        <v>6470711</v>
      </c>
      <c r="H5" s="64">
        <f t="shared" si="1"/>
        <v>3891871</v>
      </c>
      <c r="I5" s="3">
        <f t="shared" si="1"/>
        <v>5021790</v>
      </c>
      <c r="J5" s="3">
        <f t="shared" si="1"/>
        <v>1442977</v>
      </c>
      <c r="K5" s="3">
        <f t="shared" si="1"/>
        <v>1185675</v>
      </c>
      <c r="L5" s="18">
        <f t="shared" si="1"/>
        <v>326645</v>
      </c>
      <c r="M5" s="63">
        <f t="shared" si="1"/>
        <v>4270643</v>
      </c>
      <c r="N5" s="64">
        <f t="shared" si="1"/>
        <v>2047569</v>
      </c>
      <c r="O5" s="75">
        <f t="shared" si="0"/>
        <v>58963909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2.75">
      <c r="A6" s="58" t="s">
        <v>9</v>
      </c>
      <c r="B6" s="65">
        <v>40126</v>
      </c>
      <c r="C6" s="34">
        <v>9780</v>
      </c>
      <c r="D6" s="34">
        <v>25920</v>
      </c>
      <c r="E6" s="34">
        <v>30705</v>
      </c>
      <c r="F6" s="34">
        <v>45931</v>
      </c>
      <c r="G6" s="34">
        <v>31820</v>
      </c>
      <c r="H6" s="66">
        <v>2343</v>
      </c>
      <c r="I6" s="4">
        <v>5272</v>
      </c>
      <c r="J6" s="4">
        <v>462</v>
      </c>
      <c r="K6" s="4">
        <v>2828</v>
      </c>
      <c r="L6" s="34">
        <v>486</v>
      </c>
      <c r="M6" s="65">
        <v>49912</v>
      </c>
      <c r="N6" s="66">
        <v>462</v>
      </c>
      <c r="O6" s="75">
        <f t="shared" si="0"/>
        <v>246047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58" t="s">
        <v>6</v>
      </c>
      <c r="B7" s="65">
        <v>5802581</v>
      </c>
      <c r="C7" s="34">
        <v>1715369</v>
      </c>
      <c r="D7" s="34">
        <v>9107557</v>
      </c>
      <c r="E7" s="34">
        <v>6063467</v>
      </c>
      <c r="F7" s="34">
        <v>7777348</v>
      </c>
      <c r="G7" s="34">
        <v>5801339</v>
      </c>
      <c r="H7" s="66">
        <v>3632778</v>
      </c>
      <c r="I7" s="4">
        <v>4514409</v>
      </c>
      <c r="J7" s="4">
        <v>1290733</v>
      </c>
      <c r="K7" s="4">
        <v>1096788</v>
      </c>
      <c r="L7" s="34">
        <v>283787</v>
      </c>
      <c r="M7" s="65">
        <v>4118216</v>
      </c>
      <c r="N7" s="66">
        <v>1617535</v>
      </c>
      <c r="O7" s="75">
        <f t="shared" si="0"/>
        <v>52821907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.75">
      <c r="A8" s="58" t="s">
        <v>10</v>
      </c>
      <c r="B8" s="65">
        <v>325716</v>
      </c>
      <c r="C8" s="34">
        <v>60929</v>
      </c>
      <c r="D8" s="34">
        <v>529007</v>
      </c>
      <c r="E8" s="34">
        <v>424528</v>
      </c>
      <c r="F8" s="34">
        <v>420580</v>
      </c>
      <c r="G8" s="45">
        <v>301788</v>
      </c>
      <c r="H8" s="66">
        <v>70467</v>
      </c>
      <c r="I8" s="4">
        <v>139572</v>
      </c>
      <c r="J8" s="4">
        <v>80695</v>
      </c>
      <c r="K8" s="4">
        <v>39737</v>
      </c>
      <c r="L8" s="34">
        <v>5810</v>
      </c>
      <c r="M8" s="63">
        <v>100419</v>
      </c>
      <c r="N8" s="66">
        <v>301485</v>
      </c>
      <c r="O8" s="75">
        <f t="shared" si="0"/>
        <v>2800733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75">
      <c r="A9" s="58" t="s">
        <v>7</v>
      </c>
      <c r="B9" s="65">
        <v>20936</v>
      </c>
      <c r="C9" s="34">
        <v>310</v>
      </c>
      <c r="D9" s="34">
        <v>19532</v>
      </c>
      <c r="E9" s="34">
        <v>10785</v>
      </c>
      <c r="F9" s="34">
        <v>13226</v>
      </c>
      <c r="G9" s="46">
        <v>2958</v>
      </c>
      <c r="H9" s="66">
        <v>2086</v>
      </c>
      <c r="I9" s="4">
        <v>5416</v>
      </c>
      <c r="J9" s="4">
        <v>2340</v>
      </c>
      <c r="K9" s="4">
        <v>2145</v>
      </c>
      <c r="L9" s="34">
        <v>0</v>
      </c>
      <c r="M9" s="65">
        <v>2015</v>
      </c>
      <c r="N9" s="66">
        <v>905</v>
      </c>
      <c r="O9" s="75">
        <f t="shared" si="0"/>
        <v>82654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>
      <c r="A10" s="58" t="s">
        <v>11</v>
      </c>
      <c r="B10" s="65">
        <v>480391</v>
      </c>
      <c r="C10" s="34">
        <v>82149</v>
      </c>
      <c r="D10" s="34">
        <v>527195</v>
      </c>
      <c r="E10" s="34">
        <v>338605</v>
      </c>
      <c r="F10" s="34">
        <v>433355</v>
      </c>
      <c r="G10" s="34">
        <v>332806</v>
      </c>
      <c r="H10" s="66">
        <v>184197</v>
      </c>
      <c r="I10" s="4">
        <v>357121</v>
      </c>
      <c r="J10" s="4">
        <v>68747</v>
      </c>
      <c r="K10" s="4">
        <v>44177</v>
      </c>
      <c r="L10" s="34">
        <v>36562</v>
      </c>
      <c r="M10" s="65">
        <v>81</v>
      </c>
      <c r="N10" s="66">
        <v>127182</v>
      </c>
      <c r="O10" s="75">
        <f t="shared" si="0"/>
        <v>3012568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>
      <c r="A11" s="59"/>
      <c r="B11" s="67"/>
      <c r="C11" s="20"/>
      <c r="D11" s="20"/>
      <c r="E11" s="20"/>
      <c r="F11" s="20"/>
      <c r="G11" s="20"/>
      <c r="H11" s="68"/>
      <c r="I11" s="4"/>
      <c r="J11" s="4"/>
      <c r="K11" s="4"/>
      <c r="L11" s="34"/>
      <c r="M11" s="65"/>
      <c r="N11" s="66"/>
      <c r="O11" s="75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15" ht="12.75">
      <c r="A12" s="57" t="s">
        <v>8</v>
      </c>
      <c r="B12" s="69">
        <f>B4-B5</f>
        <v>-1996067</v>
      </c>
      <c r="C12" s="24">
        <f>C4-C5</f>
        <v>-535970</v>
      </c>
      <c r="D12" s="24">
        <f>D4-D5</f>
        <v>-2297325</v>
      </c>
      <c r="E12" s="24">
        <f>E4-E5</f>
        <v>-3027345</v>
      </c>
      <c r="F12" s="24">
        <f aca="true" t="shared" si="2" ref="F12:N12">F4-F5</f>
        <v>-2551148</v>
      </c>
      <c r="G12" s="24">
        <f t="shared" si="2"/>
        <v>-1185854</v>
      </c>
      <c r="H12" s="70">
        <f t="shared" si="2"/>
        <v>-1673603</v>
      </c>
      <c r="I12" s="8">
        <f t="shared" si="2"/>
        <v>-296983</v>
      </c>
      <c r="J12" s="8">
        <f t="shared" si="2"/>
        <v>-466961</v>
      </c>
      <c r="K12" s="8">
        <f t="shared" si="2"/>
        <v>-560911</v>
      </c>
      <c r="L12" s="24">
        <f t="shared" si="2"/>
        <v>-314707</v>
      </c>
      <c r="M12" s="73">
        <f t="shared" si="2"/>
        <v>29770</v>
      </c>
      <c r="N12" s="74">
        <f t="shared" si="2"/>
        <v>781730</v>
      </c>
      <c r="O12" s="75">
        <f t="shared" si="0"/>
        <v>-14095374</v>
      </c>
    </row>
    <row r="13" spans="2:8" ht="12.75">
      <c r="B13" s="59"/>
      <c r="C13" s="71"/>
      <c r="D13" s="71"/>
      <c r="E13" s="71"/>
      <c r="F13" s="71"/>
      <c r="G13" s="71"/>
      <c r="H13" s="72"/>
    </row>
  </sheetData>
  <mergeCells count="3">
    <mergeCell ref="B2:H2"/>
    <mergeCell ref="I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Z1">
      <selection activeCell="AD24" sqref="AD24:AD25"/>
    </sheetView>
  </sheetViews>
  <sheetFormatPr defaultColWidth="9.140625" defaultRowHeight="12.75"/>
  <cols>
    <col min="1" max="1" width="32.140625" style="0" customWidth="1"/>
    <col min="2" max="3" width="12.8515625" style="0" customWidth="1"/>
    <col min="4" max="7" width="12.00390625" style="0" customWidth="1"/>
    <col min="8" max="9" width="11.8515625" style="0" customWidth="1"/>
    <col min="10" max="11" width="11.140625" style="0" customWidth="1"/>
    <col min="12" max="12" width="14.421875" style="0" customWidth="1"/>
    <col min="13" max="13" width="10.00390625" style="0" customWidth="1"/>
    <col min="14" max="14" width="10.7109375" style="0" customWidth="1"/>
    <col min="16" max="16" width="15.28125" style="0" customWidth="1"/>
    <col min="18" max="18" width="10.140625" style="0" customWidth="1"/>
    <col min="19" max="19" width="10.8515625" style="0" customWidth="1"/>
    <col min="23" max="23" width="14.28125" style="0" customWidth="1"/>
    <col min="24" max="24" width="9.7109375" style="0" customWidth="1"/>
    <col min="25" max="25" width="10.8515625" style="0" customWidth="1"/>
    <col min="27" max="27" width="13.8515625" style="0" customWidth="1"/>
    <col min="30" max="30" width="12.140625" style="0" customWidth="1"/>
    <col min="32" max="32" width="21.140625" style="0" customWidth="1"/>
  </cols>
  <sheetData>
    <row r="1" ht="14.25">
      <c r="A1" s="10" t="s">
        <v>0</v>
      </c>
    </row>
    <row r="2" ht="14.25">
      <c r="A2" s="10"/>
    </row>
    <row r="3" spans="2:31" ht="12.75">
      <c r="B3" s="144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S3" s="145" t="s">
        <v>2</v>
      </c>
      <c r="T3" s="145"/>
      <c r="U3" s="145"/>
      <c r="V3" s="145"/>
      <c r="W3" s="145"/>
      <c r="X3" s="145"/>
      <c r="Y3" s="145"/>
      <c r="Z3" s="145"/>
      <c r="AA3" s="145"/>
      <c r="AB3" s="145"/>
      <c r="AD3" s="1" t="s">
        <v>34</v>
      </c>
      <c r="AE3" s="28"/>
    </row>
    <row r="4" spans="1:33" ht="13.5" thickBot="1">
      <c r="A4" s="2"/>
      <c r="B4" s="77" t="s">
        <v>13</v>
      </c>
      <c r="C4" s="11"/>
      <c r="D4" s="2" t="s">
        <v>14</v>
      </c>
      <c r="E4" s="11"/>
      <c r="F4" s="2" t="s">
        <v>32</v>
      </c>
      <c r="G4" s="11"/>
      <c r="H4" s="2" t="s">
        <v>24</v>
      </c>
      <c r="I4" s="11"/>
      <c r="J4" s="2" t="s">
        <v>25</v>
      </c>
      <c r="K4" s="11"/>
      <c r="L4" s="26" t="s">
        <v>33</v>
      </c>
      <c r="M4" s="26"/>
      <c r="N4" s="26" t="s">
        <v>16</v>
      </c>
      <c r="O4" s="26"/>
      <c r="P4" s="11" t="s">
        <v>28</v>
      </c>
      <c r="Q4" s="76" t="s">
        <v>29</v>
      </c>
      <c r="R4" s="27"/>
      <c r="S4" s="77" t="s">
        <v>13</v>
      </c>
      <c r="T4" s="11"/>
      <c r="U4" s="2" t="s">
        <v>23</v>
      </c>
      <c r="V4" s="11"/>
      <c r="W4" s="26" t="s">
        <v>33</v>
      </c>
      <c r="X4" s="36"/>
      <c r="Y4" s="26" t="s">
        <v>16</v>
      </c>
      <c r="Z4" s="36"/>
      <c r="AA4" s="2" t="s">
        <v>30</v>
      </c>
      <c r="AB4" s="76" t="s">
        <v>29</v>
      </c>
      <c r="AC4" s="27"/>
      <c r="AD4" s="29" t="s">
        <v>3</v>
      </c>
      <c r="AE4" s="37" t="s">
        <v>4</v>
      </c>
      <c r="AF4" s="36" t="s">
        <v>31</v>
      </c>
      <c r="AG4" s="11" t="s">
        <v>29</v>
      </c>
    </row>
    <row r="5" spans="1:33" ht="13.5" thickTop="1">
      <c r="A5" s="1" t="s">
        <v>5</v>
      </c>
      <c r="B5" s="61">
        <v>4673683</v>
      </c>
      <c r="C5" s="12"/>
      <c r="D5" s="9">
        <v>1332567</v>
      </c>
      <c r="E5" s="12"/>
      <c r="F5" s="9">
        <v>7911886</v>
      </c>
      <c r="G5" s="12"/>
      <c r="H5" s="9">
        <v>3840745</v>
      </c>
      <c r="I5" s="12"/>
      <c r="J5" s="9">
        <v>6139292</v>
      </c>
      <c r="K5" s="12"/>
      <c r="L5" s="17">
        <v>5284857</v>
      </c>
      <c r="M5" s="17"/>
      <c r="N5" s="17">
        <v>2218268</v>
      </c>
      <c r="O5" s="17"/>
      <c r="P5" s="81">
        <f>B5+D5+F5+H5+J5+L5+N5</f>
        <v>31401298</v>
      </c>
      <c r="Q5" s="64"/>
      <c r="R5" s="18"/>
      <c r="S5" s="61">
        <v>4724807</v>
      </c>
      <c r="T5" s="12"/>
      <c r="U5" s="9">
        <v>976016</v>
      </c>
      <c r="V5" s="25"/>
      <c r="W5" s="9">
        <v>624764</v>
      </c>
      <c r="X5" s="12"/>
      <c r="Y5" s="17">
        <v>11938</v>
      </c>
      <c r="Z5" s="12"/>
      <c r="AA5" s="80">
        <f>Y5+W5+U5+S5</f>
        <v>6337525</v>
      </c>
      <c r="AB5" s="66"/>
      <c r="AC5" s="34"/>
      <c r="AD5" s="30">
        <v>4300413</v>
      </c>
      <c r="AE5" s="38">
        <v>2829299</v>
      </c>
      <c r="AF5" s="12">
        <f>SUM(AD5:AE5)</f>
        <v>7129712</v>
      </c>
      <c r="AG5" s="28"/>
    </row>
    <row r="6" spans="1:33" ht="12.75">
      <c r="A6" s="1" t="s">
        <v>12</v>
      </c>
      <c r="B6" s="63">
        <f>SUM(B7:B11)</f>
        <v>6669750</v>
      </c>
      <c r="C6" s="13"/>
      <c r="D6" s="3">
        <f>SUM(D7:D11)</f>
        <v>1868537</v>
      </c>
      <c r="E6" s="13"/>
      <c r="F6" s="3">
        <f>SUM(F7:F11)</f>
        <v>10209211</v>
      </c>
      <c r="G6" s="13"/>
      <c r="H6" s="3">
        <f>SUM(H7:H11)</f>
        <v>6868090</v>
      </c>
      <c r="I6" s="13"/>
      <c r="J6" s="3">
        <f>SUM(J7:J11)</f>
        <v>8690440</v>
      </c>
      <c r="K6" s="13"/>
      <c r="L6" s="18">
        <f>SUM(L7:L11)</f>
        <v>6470711</v>
      </c>
      <c r="M6" s="18"/>
      <c r="N6" s="18">
        <f>SUM(N7:N11)</f>
        <v>3891871</v>
      </c>
      <c r="O6" s="18"/>
      <c r="P6" s="81">
        <f aca="true" t="shared" si="0" ref="P6:P11">B6+D6+F6+H6+J6+L6+N6</f>
        <v>44668610</v>
      </c>
      <c r="Q6" s="64"/>
      <c r="R6" s="18"/>
      <c r="S6" s="63">
        <f>SUM(S7:S11)</f>
        <v>5021790</v>
      </c>
      <c r="T6" s="13"/>
      <c r="U6" s="3">
        <f>SUM(U7:U11)</f>
        <v>1442977</v>
      </c>
      <c r="V6" s="13"/>
      <c r="W6" s="3">
        <f>SUM(W7:W11)</f>
        <v>1185675</v>
      </c>
      <c r="X6" s="13"/>
      <c r="Y6" s="18">
        <f>SUM(Y7:Y11)</f>
        <v>326645</v>
      </c>
      <c r="Z6" s="13"/>
      <c r="AA6" s="80">
        <f aca="true" t="shared" si="1" ref="AA6:AA11">Y6+W6+U6+S6</f>
        <v>7977087</v>
      </c>
      <c r="AB6" s="64"/>
      <c r="AC6" s="18"/>
      <c r="AD6" s="31">
        <f>SUM(AD7:AD11)</f>
        <v>4270643</v>
      </c>
      <c r="AE6" s="39">
        <f>SUM(AE7:AE11)</f>
        <v>2047569</v>
      </c>
      <c r="AF6" s="42">
        <f aca="true" t="shared" si="2" ref="AF6:AF11">SUM(AD6:AE6)</f>
        <v>6318212</v>
      </c>
      <c r="AG6" s="28"/>
    </row>
    <row r="7" spans="1:33" ht="12.75">
      <c r="A7" s="7" t="s">
        <v>9</v>
      </c>
      <c r="B7" s="65">
        <v>40126</v>
      </c>
      <c r="C7" s="14">
        <f>B7/B6</f>
        <v>0.0060161175456351435</v>
      </c>
      <c r="D7" s="4">
        <v>9780</v>
      </c>
      <c r="E7" s="14">
        <f>D7/D6</f>
        <v>0.005234041391741239</v>
      </c>
      <c r="F7" s="4">
        <v>25920</v>
      </c>
      <c r="G7" s="14">
        <f>F7/F6</f>
        <v>0.0025388837589897986</v>
      </c>
      <c r="H7" s="4">
        <v>30705</v>
      </c>
      <c r="I7" s="14">
        <f>H7/H6</f>
        <v>0.004470675253236344</v>
      </c>
      <c r="J7" s="4">
        <v>45931</v>
      </c>
      <c r="K7" s="14">
        <f>J7/J6</f>
        <v>0.005285232968641404</v>
      </c>
      <c r="L7" s="34">
        <v>31820</v>
      </c>
      <c r="M7" s="19">
        <f>L7/L6</f>
        <v>0.00491754306443295</v>
      </c>
      <c r="N7" s="34">
        <v>2343</v>
      </c>
      <c r="O7" s="19">
        <f>N7/N6</f>
        <v>0.0006020240650319602</v>
      </c>
      <c r="P7" s="81">
        <f t="shared" si="0"/>
        <v>186625</v>
      </c>
      <c r="Q7" s="78">
        <f>P7/P6</f>
        <v>0.0041779898680527556</v>
      </c>
      <c r="R7" s="18"/>
      <c r="S7" s="65">
        <v>5272</v>
      </c>
      <c r="T7" s="14">
        <f>S7/S6</f>
        <v>0.001049824863245974</v>
      </c>
      <c r="U7" s="4">
        <v>462</v>
      </c>
      <c r="V7" s="14">
        <f>U7/U6</f>
        <v>0.00032017142338374067</v>
      </c>
      <c r="W7" s="4">
        <v>2828</v>
      </c>
      <c r="X7" s="14">
        <f>W7/W6</f>
        <v>0.0023851392666624496</v>
      </c>
      <c r="Y7" s="34">
        <v>486</v>
      </c>
      <c r="Z7" s="14">
        <f>Y7/Y6</f>
        <v>0.0014878537862205146</v>
      </c>
      <c r="AA7" s="80">
        <f t="shared" si="1"/>
        <v>9048</v>
      </c>
      <c r="AB7" s="14">
        <f>AA7/AA6</f>
        <v>0.001134248629856989</v>
      </c>
      <c r="AC7" s="19"/>
      <c r="AD7" s="32">
        <v>49912</v>
      </c>
      <c r="AE7" s="40">
        <v>462</v>
      </c>
      <c r="AF7" s="25">
        <f t="shared" si="2"/>
        <v>50374</v>
      </c>
      <c r="AG7" s="14">
        <f>AF7/AF6</f>
        <v>0.007972825223338502</v>
      </c>
    </row>
    <row r="8" spans="1:33" ht="12.75">
      <c r="A8" s="7" t="s">
        <v>6</v>
      </c>
      <c r="B8" s="65">
        <v>5802581</v>
      </c>
      <c r="C8" s="14">
        <f>B8/B6</f>
        <v>0.8699847820383073</v>
      </c>
      <c r="D8" s="4">
        <v>1715369</v>
      </c>
      <c r="E8" s="14">
        <f>D8/D6</f>
        <v>0.9180278474549876</v>
      </c>
      <c r="F8" s="4">
        <v>9107557</v>
      </c>
      <c r="G8" s="14">
        <f>F8/F6</f>
        <v>0.892092150901769</v>
      </c>
      <c r="H8" s="4">
        <v>6063467</v>
      </c>
      <c r="I8" s="14">
        <f>H8/H6</f>
        <v>0.8828461770302952</v>
      </c>
      <c r="J8" s="4">
        <v>7777348</v>
      </c>
      <c r="K8" s="14">
        <f>J8/J6</f>
        <v>0.8949314419062786</v>
      </c>
      <c r="L8" s="34">
        <v>5801339</v>
      </c>
      <c r="M8" s="19">
        <f>L8/L6</f>
        <v>0.8965535626610429</v>
      </c>
      <c r="N8" s="34">
        <v>3632778</v>
      </c>
      <c r="O8" s="19">
        <f>N8/N6</f>
        <v>0.9334271356887215</v>
      </c>
      <c r="P8" s="81">
        <f t="shared" si="0"/>
        <v>39900439</v>
      </c>
      <c r="Q8" s="78">
        <f>P8/P6</f>
        <v>0.8932545472088789</v>
      </c>
      <c r="R8" s="18"/>
      <c r="S8" s="65">
        <v>4514409</v>
      </c>
      <c r="T8" s="14">
        <f>S8/S6</f>
        <v>0.8989641143894906</v>
      </c>
      <c r="U8" s="4">
        <v>1290733</v>
      </c>
      <c r="V8" s="14">
        <f>U8/U6</f>
        <v>0.8944931208189736</v>
      </c>
      <c r="W8" s="4">
        <v>1096788</v>
      </c>
      <c r="X8" s="14">
        <f>W8/W6</f>
        <v>0.9250325763805427</v>
      </c>
      <c r="Y8" s="34">
        <v>283787</v>
      </c>
      <c r="Z8" s="14">
        <f>Y8/Y6</f>
        <v>0.868793338333665</v>
      </c>
      <c r="AA8" s="80">
        <f t="shared" si="1"/>
        <v>7185717</v>
      </c>
      <c r="AB8" s="14">
        <f>AA8/AA6</f>
        <v>0.9007946133720242</v>
      </c>
      <c r="AC8" s="19"/>
      <c r="AD8" s="32">
        <v>4118216</v>
      </c>
      <c r="AE8" s="40">
        <v>1617535</v>
      </c>
      <c r="AF8" s="25">
        <f t="shared" si="2"/>
        <v>5735751</v>
      </c>
      <c r="AG8" s="14">
        <f>AF8/AF6</f>
        <v>0.9078123684358803</v>
      </c>
    </row>
    <row r="9" spans="1:33" ht="12.75">
      <c r="A9" s="7" t="s">
        <v>10</v>
      </c>
      <c r="B9" s="65">
        <v>325716</v>
      </c>
      <c r="C9" s="14">
        <f>B9/B6</f>
        <v>0.04883481389857191</v>
      </c>
      <c r="D9" s="4">
        <v>60929</v>
      </c>
      <c r="E9" s="14">
        <f>D9/D6</f>
        <v>0.03260786379932536</v>
      </c>
      <c r="F9" s="4">
        <v>529007</v>
      </c>
      <c r="G9" s="14">
        <f>F9/F6</f>
        <v>0.05181663891558319</v>
      </c>
      <c r="H9" s="4">
        <v>424528</v>
      </c>
      <c r="I9" s="14">
        <f>H9/H6</f>
        <v>0.06181165360384037</v>
      </c>
      <c r="J9" s="4">
        <v>420580</v>
      </c>
      <c r="K9" s="14">
        <f>J9/J6</f>
        <v>0.04839570838760753</v>
      </c>
      <c r="L9" s="45">
        <v>301788</v>
      </c>
      <c r="M9" s="19">
        <f>L9/L6</f>
        <v>0.04663907876584196</v>
      </c>
      <c r="N9" s="34">
        <v>70467</v>
      </c>
      <c r="O9" s="19">
        <f>N9/N6</f>
        <v>0.018106201361761477</v>
      </c>
      <c r="P9" s="81">
        <f t="shared" si="0"/>
        <v>2133015</v>
      </c>
      <c r="Q9" s="78">
        <f>P9/P6</f>
        <v>0.04775198959627353</v>
      </c>
      <c r="R9" s="20"/>
      <c r="S9" s="65">
        <v>139572</v>
      </c>
      <c r="T9" s="14">
        <f>S9/S6</f>
        <v>0.027793276899272967</v>
      </c>
      <c r="U9" s="4">
        <v>80695</v>
      </c>
      <c r="V9" s="14">
        <f>U9/U6</f>
        <v>0.05592258227262112</v>
      </c>
      <c r="W9" s="4">
        <v>39737</v>
      </c>
      <c r="X9" s="14">
        <f>W9/W6</f>
        <v>0.03351424294178421</v>
      </c>
      <c r="Y9" s="34">
        <v>5810</v>
      </c>
      <c r="Z9" s="14">
        <f>Y9/Y6</f>
        <v>0.017786894028685576</v>
      </c>
      <c r="AA9" s="80">
        <f t="shared" si="1"/>
        <v>265814</v>
      </c>
      <c r="AB9" s="14">
        <f>AA9/AA6</f>
        <v>0.03332218891432424</v>
      </c>
      <c r="AC9" s="19"/>
      <c r="AD9" s="31">
        <v>100419</v>
      </c>
      <c r="AE9" s="40">
        <v>301485</v>
      </c>
      <c r="AF9" s="25">
        <f t="shared" si="2"/>
        <v>401904</v>
      </c>
      <c r="AG9" s="14">
        <f>AF9/AF6</f>
        <v>0.06361040117045771</v>
      </c>
    </row>
    <row r="10" spans="1:33" ht="12.75">
      <c r="A10" s="7" t="s">
        <v>7</v>
      </c>
      <c r="B10" s="65">
        <v>20936</v>
      </c>
      <c r="C10" s="14">
        <f>B10/B6</f>
        <v>0.003138948236440646</v>
      </c>
      <c r="D10" s="4">
        <v>310</v>
      </c>
      <c r="E10" s="14">
        <f>D10/D6</f>
        <v>0.0001659051974887305</v>
      </c>
      <c r="F10" s="4">
        <v>19532</v>
      </c>
      <c r="G10" s="14">
        <f>F10/F6</f>
        <v>0.0019131742893745657</v>
      </c>
      <c r="H10" s="4">
        <v>10785</v>
      </c>
      <c r="I10" s="14">
        <f>H10/H6</f>
        <v>0.0015703055725827704</v>
      </c>
      <c r="J10" s="4">
        <v>13226</v>
      </c>
      <c r="K10" s="14">
        <f>J10/J6</f>
        <v>0.0015219022281955804</v>
      </c>
      <c r="L10" s="46">
        <v>2958</v>
      </c>
      <c r="M10" s="19">
        <f>L10/L6</f>
        <v>0.00045713678141397446</v>
      </c>
      <c r="N10" s="34">
        <v>2086</v>
      </c>
      <c r="O10" s="19">
        <f>N10/N6</f>
        <v>0.0005359889883297777</v>
      </c>
      <c r="P10" s="81">
        <f t="shared" si="0"/>
        <v>69833</v>
      </c>
      <c r="Q10" s="78">
        <f>P10/P6</f>
        <v>0.0015633573554225215</v>
      </c>
      <c r="R10" s="20"/>
      <c r="S10" s="65">
        <v>5416</v>
      </c>
      <c r="T10" s="14">
        <f>S10/S6</f>
        <v>0.0010784998974469264</v>
      </c>
      <c r="U10" s="4">
        <v>2340</v>
      </c>
      <c r="V10" s="14">
        <f>U10/U6</f>
        <v>0.0016216474690864788</v>
      </c>
      <c r="W10" s="4">
        <v>2145</v>
      </c>
      <c r="X10" s="14">
        <f>W10/W6</f>
        <v>0.001809096084508824</v>
      </c>
      <c r="Y10" s="34">
        <v>0</v>
      </c>
      <c r="Z10" s="14">
        <f>Y10/Y6</f>
        <v>0</v>
      </c>
      <c r="AA10" s="80">
        <f t="shared" si="1"/>
        <v>9901</v>
      </c>
      <c r="AB10" s="14">
        <f>AA10/AA6</f>
        <v>0.001241179894364948</v>
      </c>
      <c r="AC10" s="19"/>
      <c r="AD10" s="32">
        <v>2015</v>
      </c>
      <c r="AE10" s="40">
        <v>905</v>
      </c>
      <c r="AF10" s="25">
        <f t="shared" si="2"/>
        <v>2920</v>
      </c>
      <c r="AG10" s="14">
        <f>AF10/AF6</f>
        <v>0.00046215606567174384</v>
      </c>
    </row>
    <row r="11" spans="1:33" ht="12.75">
      <c r="A11" s="7" t="s">
        <v>11</v>
      </c>
      <c r="B11" s="65">
        <v>480391</v>
      </c>
      <c r="C11" s="14">
        <f>B11/B6</f>
        <v>0.07202533828104501</v>
      </c>
      <c r="D11" s="4">
        <v>82149</v>
      </c>
      <c r="E11" s="14">
        <f>D11/D6</f>
        <v>0.04396434215645716</v>
      </c>
      <c r="F11" s="4">
        <v>527195</v>
      </c>
      <c r="G11" s="14">
        <f>F11/F6</f>
        <v>0.05163915213428344</v>
      </c>
      <c r="H11" s="4">
        <v>338605</v>
      </c>
      <c r="I11" s="14">
        <f>H11/H6</f>
        <v>0.04930118854004534</v>
      </c>
      <c r="J11" s="4">
        <v>433355</v>
      </c>
      <c r="K11" s="14">
        <f>J11/J6</f>
        <v>0.04986571450927686</v>
      </c>
      <c r="L11" s="34">
        <v>332806</v>
      </c>
      <c r="M11" s="19">
        <f>L11/L6</f>
        <v>0.051432678727268144</v>
      </c>
      <c r="N11" s="34">
        <v>184197</v>
      </c>
      <c r="O11" s="19">
        <f>N11/N6</f>
        <v>0.047328649896155345</v>
      </c>
      <c r="P11" s="81">
        <f t="shared" si="0"/>
        <v>2378698</v>
      </c>
      <c r="Q11" s="78">
        <f>P11/P6</f>
        <v>0.05325211597137229</v>
      </c>
      <c r="R11" s="18"/>
      <c r="S11" s="65">
        <v>357121</v>
      </c>
      <c r="T11" s="14">
        <f>S11/S6</f>
        <v>0.07111428395054353</v>
      </c>
      <c r="U11" s="4">
        <v>68747</v>
      </c>
      <c r="V11" s="14">
        <f>U11/U6</f>
        <v>0.04764247801593511</v>
      </c>
      <c r="W11" s="4">
        <v>44177</v>
      </c>
      <c r="X11" s="14">
        <f>W11/W6</f>
        <v>0.03725894532650178</v>
      </c>
      <c r="Y11" s="34">
        <v>36562</v>
      </c>
      <c r="Z11" s="14">
        <f>Y11/Y6</f>
        <v>0.11193191385142892</v>
      </c>
      <c r="AA11" s="80">
        <f t="shared" si="1"/>
        <v>506607</v>
      </c>
      <c r="AB11" s="14">
        <f>AA11/AA6</f>
        <v>0.06350776918942967</v>
      </c>
      <c r="AC11" s="19"/>
      <c r="AD11" s="32">
        <v>81</v>
      </c>
      <c r="AE11" s="40">
        <v>127182</v>
      </c>
      <c r="AF11" s="25">
        <f t="shared" si="2"/>
        <v>127263</v>
      </c>
      <c r="AG11" s="14">
        <f>AF11/AF6</f>
        <v>0.02014224910465176</v>
      </c>
    </row>
    <row r="12" spans="2:33" ht="12.75">
      <c r="B12" s="67"/>
      <c r="C12" s="15"/>
      <c r="D12" s="5"/>
      <c r="E12" s="15"/>
      <c r="F12" s="5"/>
      <c r="G12" s="15"/>
      <c r="H12" s="5"/>
      <c r="I12" s="15"/>
      <c r="J12" s="5"/>
      <c r="K12" s="15"/>
      <c r="L12" s="20"/>
      <c r="M12" s="20"/>
      <c r="N12" s="20"/>
      <c r="O12" s="20"/>
      <c r="P12" s="15"/>
      <c r="Q12" s="68"/>
      <c r="R12" s="20"/>
      <c r="S12" s="65"/>
      <c r="T12" s="25"/>
      <c r="U12" s="4"/>
      <c r="V12" s="25"/>
      <c r="W12" s="4"/>
      <c r="X12" s="25"/>
      <c r="Y12" s="34"/>
      <c r="Z12" s="25"/>
      <c r="AA12" s="34"/>
      <c r="AB12" s="66"/>
      <c r="AC12" s="34"/>
      <c r="AD12" s="32"/>
      <c r="AE12" s="40"/>
      <c r="AF12" s="28"/>
      <c r="AG12" s="28"/>
    </row>
    <row r="13" spans="1:33" ht="12.75">
      <c r="A13" s="1" t="s">
        <v>8</v>
      </c>
      <c r="B13" s="69">
        <f>B5-B6</f>
        <v>-1996067</v>
      </c>
      <c r="C13" s="16">
        <f>SUM(C7:C12)</f>
        <v>1</v>
      </c>
      <c r="D13" s="8">
        <f>D5-D6</f>
        <v>-535970</v>
      </c>
      <c r="E13" s="16">
        <f>SUM(E7:E12)</f>
        <v>1</v>
      </c>
      <c r="F13" s="8">
        <f>F5-F6</f>
        <v>-2297325</v>
      </c>
      <c r="G13" s="16">
        <f>SUM(G7:G12)</f>
        <v>1</v>
      </c>
      <c r="H13" s="8">
        <f>H5-H6</f>
        <v>-3027345</v>
      </c>
      <c r="I13" s="16">
        <f>SUM(I7:I12)</f>
        <v>1</v>
      </c>
      <c r="J13" s="8">
        <f>J5-J6</f>
        <v>-2551148</v>
      </c>
      <c r="K13" s="16">
        <f>SUM(K7:K12)</f>
        <v>1</v>
      </c>
      <c r="L13" s="24">
        <f>L5-L6</f>
        <v>-1185854</v>
      </c>
      <c r="M13" s="16">
        <f>SUM(M7:M12)</f>
        <v>1</v>
      </c>
      <c r="N13" s="24">
        <f>N5-N6</f>
        <v>-1673603</v>
      </c>
      <c r="O13" s="21">
        <f>SUM(O7:O12)</f>
        <v>1</v>
      </c>
      <c r="P13" s="22">
        <f>P5-P6</f>
        <v>-13267312</v>
      </c>
      <c r="Q13" s="79">
        <f>SUM(Q7:Q12)</f>
        <v>1</v>
      </c>
      <c r="R13" s="24"/>
      <c r="S13" s="69">
        <f>S5-S6</f>
        <v>-296983</v>
      </c>
      <c r="T13" s="16">
        <f>SUM(T7:T12)</f>
        <v>1</v>
      </c>
      <c r="U13" s="8">
        <f>U5-U6</f>
        <v>-466961</v>
      </c>
      <c r="V13" s="44">
        <f>SUM(V7:V12)</f>
        <v>1</v>
      </c>
      <c r="W13" s="8">
        <f>W5-W6</f>
        <v>-560911</v>
      </c>
      <c r="X13" s="44">
        <f>SUM(X7:X12)</f>
        <v>0.9999999999999999</v>
      </c>
      <c r="Y13" s="24">
        <f>Y5-Y6</f>
        <v>-314707</v>
      </c>
      <c r="Z13" s="44">
        <f>SUM(Z7:Z12)</f>
        <v>1</v>
      </c>
      <c r="AA13" s="24">
        <f>AA5-AA6</f>
        <v>-1639562</v>
      </c>
      <c r="AB13" s="44">
        <f>SUM(AB7:AB12)</f>
        <v>1</v>
      </c>
      <c r="AC13" s="21"/>
      <c r="AD13" s="35">
        <f>AD5-AD6</f>
        <v>29770</v>
      </c>
      <c r="AE13" s="41">
        <f>AE5-AE6</f>
        <v>781730</v>
      </c>
      <c r="AF13" s="41">
        <f>AF5-AF6</f>
        <v>811500</v>
      </c>
      <c r="AG13" s="43">
        <f>SUM(AG7:AG12)</f>
        <v>1</v>
      </c>
    </row>
    <row r="14" ht="12.75">
      <c r="A14" s="7" t="s">
        <v>27</v>
      </c>
    </row>
    <row r="15" ht="12.75">
      <c r="P15">
        <f>P5/P6</f>
        <v>0.7029835492978178</v>
      </c>
    </row>
    <row r="16" ht="12.75">
      <c r="AA16">
        <f>AA5/AA6</f>
        <v>0.7944660751474818</v>
      </c>
    </row>
    <row r="17" ht="12.75">
      <c r="A17" s="1" t="s">
        <v>22</v>
      </c>
    </row>
    <row r="18" spans="1:2" ht="12.75">
      <c r="A18" s="7" t="s">
        <v>1</v>
      </c>
      <c r="B18">
        <v>238</v>
      </c>
    </row>
    <row r="19" spans="1:2" ht="12.75">
      <c r="A19" s="7" t="s">
        <v>2</v>
      </c>
      <c r="B19">
        <v>258</v>
      </c>
    </row>
    <row r="20" spans="1:2" ht="12.75">
      <c r="A20" s="7" t="s">
        <v>20</v>
      </c>
      <c r="B20">
        <v>289</v>
      </c>
    </row>
    <row r="21" spans="1:2" ht="12.75">
      <c r="A21" s="7" t="s">
        <v>21</v>
      </c>
      <c r="B21">
        <v>200</v>
      </c>
    </row>
    <row r="23" ht="12.75">
      <c r="A23" s="1" t="s">
        <v>35</v>
      </c>
    </row>
    <row r="24" spans="1:3" ht="12.75">
      <c r="A24" s="7" t="s">
        <v>1</v>
      </c>
      <c r="B24" s="4">
        <f>P13</f>
        <v>-13267312</v>
      </c>
      <c r="C24" s="4"/>
    </row>
    <row r="25" spans="1:2" ht="12.75">
      <c r="A25" s="7" t="s">
        <v>2</v>
      </c>
      <c r="B25" s="4">
        <f>AA13</f>
        <v>-1639562</v>
      </c>
    </row>
    <row r="26" spans="1:2" ht="12.75">
      <c r="A26" s="84" t="s">
        <v>37</v>
      </c>
      <c r="B26" s="85">
        <f>SUM(B24:B25)</f>
        <v>-14906874</v>
      </c>
    </row>
    <row r="27" spans="1:2" ht="12.75">
      <c r="A27" s="7" t="s">
        <v>3</v>
      </c>
      <c r="B27" s="4">
        <f>AD13</f>
        <v>29770</v>
      </c>
    </row>
    <row r="28" spans="1:2" ht="12.75">
      <c r="A28" s="7" t="s">
        <v>4</v>
      </c>
      <c r="B28" s="4">
        <f>AE13</f>
        <v>781730</v>
      </c>
    </row>
    <row r="29" spans="1:2" ht="12.75">
      <c r="A29" s="84" t="s">
        <v>31</v>
      </c>
      <c r="B29" s="85">
        <f>SUM(B27:B28)</f>
        <v>811500</v>
      </c>
    </row>
    <row r="30" spans="1:2" ht="12.75">
      <c r="A30" s="7" t="s">
        <v>36</v>
      </c>
      <c r="B30" s="6">
        <f>B29+B26</f>
        <v>-14095374</v>
      </c>
    </row>
  </sheetData>
  <mergeCells count="2">
    <mergeCell ref="B3:Q3"/>
    <mergeCell ref="S3:A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 Gemini 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Östman</dc:creator>
  <cp:keywords/>
  <dc:description/>
  <cp:lastModifiedBy>Nacka Kommun</cp:lastModifiedBy>
  <dcterms:created xsi:type="dcterms:W3CDTF">2002-03-06T12:54:47Z</dcterms:created>
  <dcterms:modified xsi:type="dcterms:W3CDTF">2002-03-11T18:47:58Z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