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8640" activeTab="0"/>
  </bookViews>
  <sheets>
    <sheet name="Förskola" sheetId="1" r:id="rId1"/>
    <sheet name="Fritidshem" sheetId="2" r:id="rId2"/>
    <sheet name="Familjedaghem aktuell" sheetId="3" r:id="rId3"/>
  </sheets>
  <definedNames/>
  <calcPr fullCalcOnLoad="1"/>
</workbook>
</file>

<file path=xl/sharedStrings.xml><?xml version="1.0" encoding="utf-8"?>
<sst xmlns="http://schemas.openxmlformats.org/spreadsheetml/2006/main" count="93" uniqueCount="53">
  <si>
    <t>Baschecken subventioneras med 71%. Tilläggschecken för förskolebarn subventioneras med 55%.</t>
  </si>
  <si>
    <t>Bascheck 25 timmar/vecka + 1 062 kr per timme/vecka</t>
  </si>
  <si>
    <t xml:space="preserve">F Ö R S K O L A </t>
  </si>
  <si>
    <t>1-2 år</t>
  </si>
  <si>
    <t>3-5 år</t>
  </si>
  <si>
    <t>6 år</t>
  </si>
  <si>
    <t>Enheten</t>
  </si>
  <si>
    <t>Föräldrarna</t>
  </si>
  <si>
    <t>Omsorgstid
i timmar/v</t>
  </si>
  <si>
    <t>Tillägg</t>
  </si>
  <si>
    <t>erhåller
 per år</t>
  </si>
  <si>
    <t>betalar
per månad</t>
  </si>
  <si>
    <t>15 *)</t>
  </si>
  <si>
    <t>*) 15 timmar/vecka gäller endast för barn med arbetslös förälder.</t>
  </si>
  <si>
    <t>Checkbelopp och checktaxa - förskola 2001</t>
  </si>
  <si>
    <t>Checktaxa betalas 12 månader per år</t>
  </si>
  <si>
    <t xml:space="preserve">F A M I L J E D A G H E M </t>
  </si>
  <si>
    <t>Omsorgstid
 i timmar/v</t>
  </si>
  <si>
    <t>Checkbelopp och checktaxa - familjedaghem 2001</t>
  </si>
  <si>
    <t xml:space="preserve">Baschecken subventioneras med 71%. Tilläggschecken för omsorgsdel till förskoleklass subventioneras med 55% </t>
  </si>
  <si>
    <t>och för fritidshem med 41%.</t>
  </si>
  <si>
    <t>F R I T I D S H E M</t>
  </si>
  <si>
    <t>Förskoleklassbarn 6 år</t>
  </si>
  <si>
    <t>Skolbarn 7-9 år</t>
  </si>
  <si>
    <t>5</t>
  </si>
  <si>
    <t>6</t>
  </si>
  <si>
    <t>7</t>
  </si>
  <si>
    <t>8</t>
  </si>
  <si>
    <t>9</t>
  </si>
  <si>
    <t>5-10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</si>
  <si>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</si>
  <si>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</si>
  <si>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</si>
  <si>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</si>
  <si>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</si>
  <si>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</si>
  <si>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</si>
  <si>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</si>
  <si>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</si>
  <si>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</si>
  <si>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</si>
  <si>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</si>
  <si>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</si>
  <si>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</si>
  <si>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</si>
  <si>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</si>
  <si>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</si>
  <si>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</si>
  <si>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</si>
  <si>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</si>
  <si>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</si>
  <si>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Checkbelopp och checktaxa - fritidshem 2001</t>
  </si>
  <si>
    <t>Bilaga 2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</si>
</sst>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6">
    <font>
      <sz val="10"/>
      <name val="Ari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Continuous"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Continuous"/>
    </xf>
    <xf numFmtId="3" fontId="0" fillId="2" borderId="0" xfId="0" applyNumberFormat="1" applyFill="1" applyBorder="1" applyAlignment="1">
      <alignment/>
    </xf>
    <xf numFmtId="10" fontId="0" fillId="2" borderId="1" xfId="0" applyNumberFormat="1" applyFont="1" applyFill="1" applyBorder="1" applyAlignment="1">
      <alignment horizontal="right"/>
    </xf>
    <xf numFmtId="10" fontId="0" fillId="2" borderId="2" xfId="0" applyNumberFormat="1" applyFont="1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10" fontId="0" fillId="2" borderId="1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2" xfId="0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3" fontId="0" fillId="2" borderId="0" xfId="0" applyNumberForma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9" fontId="0" fillId="0" borderId="0" xfId="15" applyAlignment="1">
      <alignment/>
    </xf>
    <xf numFmtId="3" fontId="0" fillId="3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10.8515625" style="0" customWidth="1"/>
    <col min="2" max="2" width="6.7109375" style="0" customWidth="1"/>
    <col min="3" max="3" width="11.7109375" style="0" customWidth="1"/>
    <col min="4" max="4" width="10.7109375" style="0" customWidth="1"/>
    <col min="5" max="5" width="11.28125" style="0" customWidth="1"/>
    <col min="6" max="7" width="11.421875" style="0" customWidth="1"/>
    <col min="8" max="14" width="12.7109375" style="0" customWidth="1"/>
    <col min="15" max="15" width="10.28125" style="0" customWidth="1"/>
    <col min="16" max="19" width="12.7109375" style="0" customWidth="1"/>
    <col min="21" max="21" width="10.7109375" style="0" customWidth="1"/>
  </cols>
  <sheetData>
    <row r="1" spans="1:8" ht="20.25">
      <c r="A1" s="1" t="s">
        <v>14</v>
      </c>
      <c r="B1" s="2"/>
      <c r="C1" s="2"/>
      <c r="D1" s="2"/>
      <c r="E1" s="2"/>
      <c r="F1" s="2"/>
      <c r="G1" s="2"/>
      <c r="H1" s="67" t="s">
        <v>52</v>
      </c>
    </row>
    <row r="2" ht="15" hidden="1">
      <c r="A2" s="3" t="s">
        <v>0</v>
      </c>
    </row>
    <row r="3" spans="1:10" ht="15">
      <c r="A3" s="4"/>
      <c r="B3" s="5"/>
      <c r="C3" s="63"/>
      <c r="D3" s="5"/>
      <c r="E3" s="5"/>
      <c r="F3" s="5"/>
      <c r="G3" s="5"/>
      <c r="H3" s="5"/>
      <c r="J3" s="64"/>
    </row>
    <row r="4" spans="1:8" ht="12.75" hidden="1">
      <c r="A4" s="6" t="s">
        <v>1</v>
      </c>
      <c r="B4" s="6"/>
      <c r="C4" s="6"/>
      <c r="D4" s="6"/>
      <c r="E4" s="6"/>
      <c r="F4" s="6"/>
      <c r="G4" s="6"/>
      <c r="H4" s="6"/>
    </row>
    <row r="5" spans="1:2" ht="12.75">
      <c r="A5" s="68" t="s">
        <v>2</v>
      </c>
      <c r="B5" s="69"/>
    </row>
    <row r="6" spans="1:10" ht="12.75">
      <c r="A6" s="7"/>
      <c r="B6" s="8"/>
      <c r="C6" s="9" t="s">
        <v>3</v>
      </c>
      <c r="D6" s="10"/>
      <c r="E6" s="9" t="s">
        <v>4</v>
      </c>
      <c r="F6" s="10"/>
      <c r="G6" s="11" t="s">
        <v>5</v>
      </c>
      <c r="J6" s="64"/>
    </row>
    <row r="7" spans="1:8" ht="12.75">
      <c r="A7" s="8"/>
      <c r="B7" s="12"/>
      <c r="C7" s="13" t="s">
        <v>6</v>
      </c>
      <c r="D7" s="14" t="s">
        <v>7</v>
      </c>
      <c r="E7" s="13" t="s">
        <v>6</v>
      </c>
      <c r="F7" s="14" t="s">
        <v>7</v>
      </c>
      <c r="G7" s="13" t="s">
        <v>6</v>
      </c>
      <c r="H7" s="15" t="s">
        <v>7</v>
      </c>
    </row>
    <row r="8" spans="1:8" ht="25.5">
      <c r="A8" s="16" t="s">
        <v>8</v>
      </c>
      <c r="B8" s="17" t="s">
        <v>9</v>
      </c>
      <c r="C8" s="18" t="s">
        <v>10</v>
      </c>
      <c r="D8" s="19" t="s">
        <v>11</v>
      </c>
      <c r="E8" s="18" t="s">
        <v>10</v>
      </c>
      <c r="F8" s="19" t="s">
        <v>11</v>
      </c>
      <c r="G8" s="18" t="s">
        <v>10</v>
      </c>
      <c r="H8" s="20" t="s">
        <v>11</v>
      </c>
    </row>
    <row r="9" spans="1:8" ht="12.75">
      <c r="A9" s="21" t="s">
        <v>12</v>
      </c>
      <c r="B9" s="22">
        <v>0</v>
      </c>
      <c r="C9" s="23">
        <f>(C15/25*15)*1.03</f>
        <v>46595.364539999995</v>
      </c>
      <c r="D9" s="23">
        <f aca="true" t="shared" si="0" ref="D9:D33">D10-10</f>
        <v>870</v>
      </c>
      <c r="E9" s="23">
        <f>(E15/25*15)*1.03</f>
        <v>39036.45204</v>
      </c>
      <c r="F9" s="23">
        <f aca="true" t="shared" si="1" ref="F9:F34">F10-10</f>
        <v>870</v>
      </c>
      <c r="G9" s="23">
        <f>(G15/25*15)*1.03</f>
        <v>34583.2182</v>
      </c>
      <c r="H9" s="23">
        <f aca="true" t="shared" si="2" ref="H9:H34">H10-10</f>
        <v>870</v>
      </c>
    </row>
    <row r="10" spans="1:8" ht="12.75">
      <c r="A10" s="24">
        <v>20</v>
      </c>
      <c r="B10" s="25">
        <v>0</v>
      </c>
      <c r="C10" s="26">
        <f>(C$15/25*$A10)*1.03</f>
        <v>62127.15272</v>
      </c>
      <c r="D10" s="27">
        <f t="shared" si="0"/>
        <v>880</v>
      </c>
      <c r="E10" s="26">
        <f>(E$15/25*$A10)*1.03</f>
        <v>52048.602719999995</v>
      </c>
      <c r="F10" s="27">
        <f t="shared" si="1"/>
        <v>880</v>
      </c>
      <c r="G10" s="26">
        <f>(G$15/25*$A10)*1.03</f>
        <v>46110.95760000001</v>
      </c>
      <c r="H10" s="27">
        <f t="shared" si="2"/>
        <v>880</v>
      </c>
    </row>
    <row r="11" spans="1:8" ht="12.75">
      <c r="A11" s="28">
        <v>21</v>
      </c>
      <c r="B11" s="29">
        <v>0</v>
      </c>
      <c r="C11" s="30">
        <f>(C$15/25*$A11)*1.03</f>
        <v>65233.510356</v>
      </c>
      <c r="D11" s="30">
        <f t="shared" si="0"/>
        <v>890</v>
      </c>
      <c r="E11" s="30">
        <f>(E$15/25*$A11)*1.03</f>
        <v>54651.032856</v>
      </c>
      <c r="F11" s="30">
        <f t="shared" si="1"/>
        <v>890</v>
      </c>
      <c r="G11" s="30">
        <f>(G$15/25*$A11)*1.03</f>
        <v>48416.50548000001</v>
      </c>
      <c r="H11" s="30">
        <f t="shared" si="2"/>
        <v>890</v>
      </c>
    </row>
    <row r="12" spans="1:8" ht="12.75">
      <c r="A12" s="28">
        <v>22</v>
      </c>
      <c r="B12" s="29">
        <v>0</v>
      </c>
      <c r="C12" s="30">
        <f>(C$15/25*$A12)*1.03</f>
        <v>68339.86799199998</v>
      </c>
      <c r="D12" s="30">
        <f t="shared" si="0"/>
        <v>900</v>
      </c>
      <c r="E12" s="30">
        <f>(E$15/25*$A12)*1.03</f>
        <v>57253.462992</v>
      </c>
      <c r="F12" s="30">
        <f t="shared" si="1"/>
        <v>900</v>
      </c>
      <c r="G12" s="30">
        <f>(G$15/25*$A12)*1.03</f>
        <v>50722.053360000005</v>
      </c>
      <c r="H12" s="30">
        <f t="shared" si="2"/>
        <v>900</v>
      </c>
    </row>
    <row r="13" spans="1:8" ht="12.75">
      <c r="A13" s="28">
        <v>23</v>
      </c>
      <c r="B13" s="29">
        <v>0</v>
      </c>
      <c r="C13" s="30">
        <f>(C$15/25*$A13)*1.03</f>
        <v>71446.225628</v>
      </c>
      <c r="D13" s="30">
        <f t="shared" si="0"/>
        <v>910</v>
      </c>
      <c r="E13" s="30">
        <f>(E$15/25*$A13)*1.03</f>
        <v>59855.893127999996</v>
      </c>
      <c r="F13" s="30">
        <f t="shared" si="1"/>
        <v>910</v>
      </c>
      <c r="G13" s="30">
        <f>(G$15/25*$A13)*1.03</f>
        <v>53027.60124000001</v>
      </c>
      <c r="H13" s="30">
        <f t="shared" si="2"/>
        <v>910</v>
      </c>
    </row>
    <row r="14" spans="1:8" ht="12.75">
      <c r="A14" s="28">
        <v>24</v>
      </c>
      <c r="B14" s="29">
        <v>0</v>
      </c>
      <c r="C14" s="30">
        <f>(C$15/25*$A14)*1.03</f>
        <v>74552.583264</v>
      </c>
      <c r="D14" s="30">
        <f t="shared" si="0"/>
        <v>920</v>
      </c>
      <c r="E14" s="30">
        <f>(E$15/25*$A14)*1.03</f>
        <v>62458.323264</v>
      </c>
      <c r="F14" s="30">
        <f t="shared" si="1"/>
        <v>920</v>
      </c>
      <c r="G14" s="30">
        <f>(G$15/25*$A14)*1.03</f>
        <v>55333.14912</v>
      </c>
      <c r="H14" s="30">
        <f t="shared" si="2"/>
        <v>920</v>
      </c>
    </row>
    <row r="15" spans="1:8" ht="12.75">
      <c r="A15" s="24">
        <v>25</v>
      </c>
      <c r="B15" s="24">
        <v>0</v>
      </c>
      <c r="C15" s="27">
        <f>73201*1.03</f>
        <v>75397.03</v>
      </c>
      <c r="D15" s="27">
        <f t="shared" si="0"/>
        <v>930</v>
      </c>
      <c r="E15" s="27">
        <f>61326*1.03</f>
        <v>63165.78</v>
      </c>
      <c r="F15" s="27">
        <f t="shared" si="1"/>
        <v>930</v>
      </c>
      <c r="G15" s="27">
        <f>54330*1.03</f>
        <v>55959.9</v>
      </c>
      <c r="H15" s="27">
        <f t="shared" si="2"/>
        <v>930</v>
      </c>
    </row>
    <row r="16" spans="1:8" ht="12.75">
      <c r="A16" s="31">
        <v>26</v>
      </c>
      <c r="B16" s="31">
        <v>1</v>
      </c>
      <c r="C16" s="32">
        <f>74317*1.03</f>
        <v>76546.51</v>
      </c>
      <c r="D16" s="32">
        <f t="shared" si="0"/>
        <v>940</v>
      </c>
      <c r="E16" s="32">
        <f>62442*1.03</f>
        <v>64315.26</v>
      </c>
      <c r="F16" s="32">
        <f t="shared" si="1"/>
        <v>940</v>
      </c>
      <c r="G16" s="32">
        <f>55446*1.03</f>
        <v>57109.380000000005</v>
      </c>
      <c r="H16" s="32">
        <f t="shared" si="2"/>
        <v>940</v>
      </c>
    </row>
    <row r="17" spans="1:8" ht="12.75">
      <c r="A17" s="31">
        <v>27</v>
      </c>
      <c r="B17" s="31">
        <v>2</v>
      </c>
      <c r="C17" s="32">
        <f>75433*1.03</f>
        <v>77695.99</v>
      </c>
      <c r="D17" s="32">
        <f t="shared" si="0"/>
        <v>950</v>
      </c>
      <c r="E17" s="32">
        <f>63558*1.03</f>
        <v>65464.740000000005</v>
      </c>
      <c r="F17" s="32">
        <f t="shared" si="1"/>
        <v>950</v>
      </c>
      <c r="G17" s="32">
        <f>56562*1.03</f>
        <v>58258.86</v>
      </c>
      <c r="H17" s="32">
        <f t="shared" si="2"/>
        <v>950</v>
      </c>
    </row>
    <row r="18" spans="1:8" ht="12.75">
      <c r="A18" s="31">
        <v>28</v>
      </c>
      <c r="B18" s="31">
        <v>3</v>
      </c>
      <c r="C18" s="32">
        <f>76549*1.03</f>
        <v>78845.47</v>
      </c>
      <c r="D18" s="32">
        <f t="shared" si="0"/>
        <v>960</v>
      </c>
      <c r="E18" s="32">
        <f>64674*1.03</f>
        <v>66614.22</v>
      </c>
      <c r="F18" s="32">
        <f t="shared" si="1"/>
        <v>960</v>
      </c>
      <c r="G18" s="32">
        <f>57678*1.03</f>
        <v>59408.340000000004</v>
      </c>
      <c r="H18" s="32">
        <f t="shared" si="2"/>
        <v>960</v>
      </c>
    </row>
    <row r="19" spans="1:8" ht="12.75">
      <c r="A19" s="31">
        <v>29</v>
      </c>
      <c r="B19" s="31">
        <v>4</v>
      </c>
      <c r="C19" s="32">
        <f>77665*1.03</f>
        <v>79994.95</v>
      </c>
      <c r="D19" s="32">
        <f t="shared" si="0"/>
        <v>970</v>
      </c>
      <c r="E19" s="32">
        <f>65790*1.03</f>
        <v>67763.7</v>
      </c>
      <c r="F19" s="32">
        <f t="shared" si="1"/>
        <v>970</v>
      </c>
      <c r="G19" s="32">
        <f>58794*1.03</f>
        <v>60557.82</v>
      </c>
      <c r="H19" s="32">
        <f t="shared" si="2"/>
        <v>970</v>
      </c>
    </row>
    <row r="20" spans="1:8" ht="12.75">
      <c r="A20" s="24">
        <v>30</v>
      </c>
      <c r="B20" s="24">
        <v>5</v>
      </c>
      <c r="C20" s="12">
        <f>78781*1.03</f>
        <v>81144.43000000001</v>
      </c>
      <c r="D20" s="12">
        <f t="shared" si="0"/>
        <v>980</v>
      </c>
      <c r="E20" s="12">
        <f>66906*1.03</f>
        <v>68913.18000000001</v>
      </c>
      <c r="F20" s="12">
        <f t="shared" si="1"/>
        <v>980</v>
      </c>
      <c r="G20" s="12">
        <f>59909*1.03</f>
        <v>61706.270000000004</v>
      </c>
      <c r="H20" s="12">
        <f t="shared" si="2"/>
        <v>980</v>
      </c>
    </row>
    <row r="21" spans="1:8" ht="12.75">
      <c r="A21" s="33">
        <v>31</v>
      </c>
      <c r="B21" s="33">
        <v>6</v>
      </c>
      <c r="C21" s="32">
        <f>79897*1.03</f>
        <v>82293.91</v>
      </c>
      <c r="D21" s="32">
        <f t="shared" si="0"/>
        <v>990</v>
      </c>
      <c r="E21" s="32">
        <f>68022*1.03</f>
        <v>70062.66</v>
      </c>
      <c r="F21" s="32">
        <f t="shared" si="1"/>
        <v>990</v>
      </c>
      <c r="G21" s="32">
        <f>61025*1.03</f>
        <v>62855.75</v>
      </c>
      <c r="H21" s="32">
        <f t="shared" si="2"/>
        <v>990</v>
      </c>
    </row>
    <row r="22" spans="1:8" ht="12.75">
      <c r="A22" s="33">
        <v>32</v>
      </c>
      <c r="B22" s="33">
        <v>7</v>
      </c>
      <c r="C22" s="32">
        <f>81012*1.03</f>
        <v>83442.36</v>
      </c>
      <c r="D22" s="32">
        <f t="shared" si="0"/>
        <v>1000</v>
      </c>
      <c r="E22" s="32">
        <f>69138*1.03</f>
        <v>71212.14</v>
      </c>
      <c r="F22" s="32">
        <f t="shared" si="1"/>
        <v>1000</v>
      </c>
      <c r="G22" s="32">
        <f>62141*1.03</f>
        <v>64005.23</v>
      </c>
      <c r="H22" s="32">
        <f t="shared" si="2"/>
        <v>1000</v>
      </c>
    </row>
    <row r="23" spans="1:8" ht="12.75">
      <c r="A23" s="33">
        <v>33</v>
      </c>
      <c r="B23" s="33">
        <v>8</v>
      </c>
      <c r="C23" s="32">
        <f>82128*1.03</f>
        <v>84591.84</v>
      </c>
      <c r="D23" s="32">
        <f t="shared" si="0"/>
        <v>1010</v>
      </c>
      <c r="E23" s="32">
        <f>70254*1.03</f>
        <v>72361.62</v>
      </c>
      <c r="F23" s="32">
        <f t="shared" si="1"/>
        <v>1010</v>
      </c>
      <c r="G23" s="32">
        <f>63257*1.03</f>
        <v>65154.71</v>
      </c>
      <c r="H23" s="32">
        <f t="shared" si="2"/>
        <v>1010</v>
      </c>
    </row>
    <row r="24" spans="1:8" ht="12.75">
      <c r="A24" s="33">
        <v>34</v>
      </c>
      <c r="B24" s="33">
        <v>9</v>
      </c>
      <c r="C24" s="32">
        <f>83244*1.03</f>
        <v>85741.32</v>
      </c>
      <c r="D24" s="32">
        <f t="shared" si="0"/>
        <v>1020</v>
      </c>
      <c r="E24" s="32">
        <f>71370*1.03</f>
        <v>73511.1</v>
      </c>
      <c r="F24" s="32">
        <f t="shared" si="1"/>
        <v>1020</v>
      </c>
      <c r="G24" s="32">
        <f>64373*1.03</f>
        <v>66304.19</v>
      </c>
      <c r="H24" s="32">
        <f t="shared" si="2"/>
        <v>1020</v>
      </c>
    </row>
    <row r="25" spans="1:8" ht="12.75">
      <c r="A25" s="24">
        <v>35</v>
      </c>
      <c r="B25" s="24">
        <v>10</v>
      </c>
      <c r="C25" s="12">
        <f>84360*1.03</f>
        <v>86890.8</v>
      </c>
      <c r="D25" s="12">
        <f t="shared" si="0"/>
        <v>1030</v>
      </c>
      <c r="E25" s="12">
        <f>72486*1.03</f>
        <v>74660.58</v>
      </c>
      <c r="F25" s="12">
        <f t="shared" si="1"/>
        <v>1030</v>
      </c>
      <c r="G25" s="12">
        <f>65489*1.03</f>
        <v>67453.67</v>
      </c>
      <c r="H25" s="12">
        <f t="shared" si="2"/>
        <v>1030</v>
      </c>
    </row>
    <row r="26" spans="1:8" ht="12.75">
      <c r="A26" s="33">
        <v>36</v>
      </c>
      <c r="B26" s="33">
        <v>11</v>
      </c>
      <c r="C26" s="32">
        <f>85476*1.03</f>
        <v>88040.28</v>
      </c>
      <c r="D26" s="32">
        <f t="shared" si="0"/>
        <v>1040</v>
      </c>
      <c r="E26" s="32">
        <f>73601*1.03</f>
        <v>75809.03</v>
      </c>
      <c r="F26" s="32">
        <f t="shared" si="1"/>
        <v>1040</v>
      </c>
      <c r="G26" s="32">
        <f>66605*1.03</f>
        <v>68603.15000000001</v>
      </c>
      <c r="H26" s="32">
        <f t="shared" si="2"/>
        <v>1040</v>
      </c>
    </row>
    <row r="27" spans="1:8" ht="12.75">
      <c r="A27" s="33">
        <v>37</v>
      </c>
      <c r="B27" s="33">
        <v>12</v>
      </c>
      <c r="C27" s="32">
        <f>86592*1.03</f>
        <v>89189.76000000001</v>
      </c>
      <c r="D27" s="32">
        <f t="shared" si="0"/>
        <v>1050</v>
      </c>
      <c r="E27" s="32">
        <f>74717*1.03</f>
        <v>76958.51</v>
      </c>
      <c r="F27" s="32">
        <f t="shared" si="1"/>
        <v>1050</v>
      </c>
      <c r="G27" s="32">
        <f>67721*1.03</f>
        <v>69752.63</v>
      </c>
      <c r="H27" s="32">
        <f t="shared" si="2"/>
        <v>1050</v>
      </c>
    </row>
    <row r="28" spans="1:8" ht="12.75">
      <c r="A28" s="33">
        <v>38</v>
      </c>
      <c r="B28" s="33">
        <v>13</v>
      </c>
      <c r="C28" s="32">
        <f>87708*1.03</f>
        <v>90339.24</v>
      </c>
      <c r="D28" s="32">
        <f t="shared" si="0"/>
        <v>1060</v>
      </c>
      <c r="E28" s="32">
        <f>75833*1.03</f>
        <v>78107.99</v>
      </c>
      <c r="F28" s="32">
        <f t="shared" si="1"/>
        <v>1060</v>
      </c>
      <c r="G28" s="32">
        <f>68837*1.03</f>
        <v>70902.11</v>
      </c>
      <c r="H28" s="32">
        <f t="shared" si="2"/>
        <v>1060</v>
      </c>
    </row>
    <row r="29" spans="1:8" ht="12.75">
      <c r="A29" s="33">
        <v>39</v>
      </c>
      <c r="B29" s="33">
        <v>14</v>
      </c>
      <c r="C29" s="32">
        <f>88824*1.03</f>
        <v>91488.72</v>
      </c>
      <c r="D29" s="32">
        <f t="shared" si="0"/>
        <v>1070</v>
      </c>
      <c r="E29" s="32">
        <f>76949*1.03</f>
        <v>79257.47</v>
      </c>
      <c r="F29" s="32">
        <f t="shared" si="1"/>
        <v>1070</v>
      </c>
      <c r="G29" s="32">
        <f>69953*1.03</f>
        <v>72051.59</v>
      </c>
      <c r="H29" s="32">
        <f t="shared" si="2"/>
        <v>1070</v>
      </c>
    </row>
    <row r="30" spans="1:8" ht="12.75">
      <c r="A30" s="24">
        <v>40</v>
      </c>
      <c r="B30" s="24">
        <v>15</v>
      </c>
      <c r="C30" s="12">
        <f>89940*1.03</f>
        <v>92638.2</v>
      </c>
      <c r="D30" s="12">
        <f t="shared" si="0"/>
        <v>1080</v>
      </c>
      <c r="E30" s="12">
        <f>78065*1.03</f>
        <v>80406.95</v>
      </c>
      <c r="F30" s="12">
        <f t="shared" si="1"/>
        <v>1080</v>
      </c>
      <c r="G30" s="12">
        <f>71069*1.03</f>
        <v>73201.07</v>
      </c>
      <c r="H30" s="12">
        <f t="shared" si="2"/>
        <v>1080</v>
      </c>
    </row>
    <row r="31" spans="1:8" ht="12.75">
      <c r="A31" s="33">
        <v>41</v>
      </c>
      <c r="B31" s="33">
        <v>16</v>
      </c>
      <c r="C31" s="32">
        <f>91056*1.03</f>
        <v>93787.68000000001</v>
      </c>
      <c r="D31" s="32">
        <f t="shared" si="0"/>
        <v>1090</v>
      </c>
      <c r="E31" s="32">
        <f>79181*1.03</f>
        <v>81556.43000000001</v>
      </c>
      <c r="F31" s="32">
        <f t="shared" si="1"/>
        <v>1090</v>
      </c>
      <c r="G31" s="32">
        <f>72185*1.03</f>
        <v>74350.55</v>
      </c>
      <c r="H31" s="32">
        <f t="shared" si="2"/>
        <v>1090</v>
      </c>
    </row>
    <row r="32" spans="1:8" ht="12.75">
      <c r="A32" s="33">
        <v>42</v>
      </c>
      <c r="B32" s="33">
        <v>17</v>
      </c>
      <c r="C32" s="32">
        <f>92172*1.03</f>
        <v>94937.16</v>
      </c>
      <c r="D32" s="32">
        <f t="shared" si="0"/>
        <v>1100</v>
      </c>
      <c r="E32" s="32">
        <f>80297*1.03</f>
        <v>82705.91</v>
      </c>
      <c r="F32" s="32">
        <f t="shared" si="1"/>
        <v>1100</v>
      </c>
      <c r="G32" s="32">
        <f>73301*1.03</f>
        <v>75500.03</v>
      </c>
      <c r="H32" s="32">
        <f t="shared" si="2"/>
        <v>1100</v>
      </c>
    </row>
    <row r="33" spans="1:8" ht="12.75">
      <c r="A33" s="33">
        <v>43</v>
      </c>
      <c r="B33" s="33">
        <v>18</v>
      </c>
      <c r="C33" s="32">
        <f>93288*1.03</f>
        <v>96086.64</v>
      </c>
      <c r="D33" s="32">
        <f t="shared" si="0"/>
        <v>1110</v>
      </c>
      <c r="E33" s="32">
        <f>81413*1.03</f>
        <v>83855.39</v>
      </c>
      <c r="F33" s="32">
        <f t="shared" si="1"/>
        <v>1110</v>
      </c>
      <c r="G33" s="32">
        <f>74417*1.03</f>
        <v>76649.51</v>
      </c>
      <c r="H33" s="32">
        <f t="shared" si="2"/>
        <v>1110</v>
      </c>
    </row>
    <row r="34" spans="1:8" ht="12.75">
      <c r="A34" s="33">
        <v>44</v>
      </c>
      <c r="B34" s="33">
        <v>19</v>
      </c>
      <c r="C34" s="32">
        <f>94404*1.03</f>
        <v>97236.12</v>
      </c>
      <c r="D34" s="32">
        <f>D35-10</f>
        <v>1120</v>
      </c>
      <c r="E34" s="32">
        <f>82529*1.03</f>
        <v>85004.87</v>
      </c>
      <c r="F34" s="32">
        <f t="shared" si="1"/>
        <v>1120</v>
      </c>
      <c r="G34" s="32">
        <f>75533*1.03</f>
        <v>77798.99</v>
      </c>
      <c r="H34" s="32">
        <f t="shared" si="2"/>
        <v>1120</v>
      </c>
    </row>
    <row r="35" spans="1:8" ht="12.75">
      <c r="A35" s="24">
        <v>45</v>
      </c>
      <c r="B35" s="24">
        <v>20</v>
      </c>
      <c r="C35" s="12">
        <f>95520*1.03</f>
        <v>98385.6</v>
      </c>
      <c r="D35" s="12">
        <f>D36-10</f>
        <v>1130</v>
      </c>
      <c r="E35" s="12">
        <f>83645*1.03</f>
        <v>86154.35</v>
      </c>
      <c r="F35" s="12">
        <f>F36-10</f>
        <v>1130</v>
      </c>
      <c r="G35" s="12">
        <f>76649*1.03</f>
        <v>78948.47</v>
      </c>
      <c r="H35" s="12">
        <f>H36-10</f>
        <v>1130</v>
      </c>
    </row>
    <row r="36" spans="1:8" ht="12.75">
      <c r="A36" s="33">
        <v>46</v>
      </c>
      <c r="B36" s="33">
        <v>21</v>
      </c>
      <c r="C36" s="32">
        <f>99926*1.03</f>
        <v>102923.78</v>
      </c>
      <c r="D36" s="32">
        <v>1140</v>
      </c>
      <c r="E36" s="32">
        <f>87551*1.03</f>
        <v>90177.53</v>
      </c>
      <c r="F36" s="32">
        <v>1140</v>
      </c>
      <c r="G36" s="32">
        <f>79997*1.03</f>
        <v>82396.91</v>
      </c>
      <c r="H36" s="32">
        <v>1140</v>
      </c>
    </row>
    <row r="37" spans="9:22" s="34" customFormat="1" ht="12.75"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34" customFormat="1" ht="12.75">
      <c r="A38" s="34" t="s">
        <v>13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</sheetData>
  <mergeCells count="1">
    <mergeCell ref="A5:B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&amp;L&amp;"Arial,Fet"&amp;12Nacka kommun
&amp;"Arial,Normal"&amp;10Uppdragskontoret
Kristina Heuman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E38" sqref="E38"/>
    </sheetView>
  </sheetViews>
  <sheetFormatPr defaultColWidth="9.140625" defaultRowHeight="12.75"/>
  <cols>
    <col min="1" max="9" width="12.7109375" style="0" customWidth="1"/>
  </cols>
  <sheetData>
    <row r="1" spans="1:12" ht="20.25">
      <c r="A1" s="49" t="s">
        <v>51</v>
      </c>
      <c r="B1" s="38"/>
      <c r="C1" s="38"/>
      <c r="D1" s="38"/>
      <c r="E1" s="38"/>
      <c r="F1" s="67" t="s">
        <v>52</v>
      </c>
      <c r="G1" s="35"/>
      <c r="H1" s="35"/>
      <c r="I1" s="35"/>
      <c r="J1" s="2"/>
      <c r="K1" s="2"/>
      <c r="L1" s="50"/>
    </row>
    <row r="2" spans="1:12" ht="15" hidden="1">
      <c r="A2" s="3" t="s">
        <v>19</v>
      </c>
      <c r="B2" s="38"/>
      <c r="C2" s="38"/>
      <c r="D2" s="38"/>
      <c r="E2" s="38"/>
      <c r="F2" s="38"/>
      <c r="G2" s="38"/>
      <c r="H2" s="38"/>
      <c r="I2" s="38"/>
      <c r="J2" s="35"/>
      <c r="K2" s="35"/>
      <c r="L2" s="35"/>
    </row>
    <row r="3" spans="1:12" ht="15" hidden="1">
      <c r="A3" s="51" t="s">
        <v>20</v>
      </c>
      <c r="B3" s="38"/>
      <c r="C3" s="38"/>
      <c r="D3" s="38"/>
      <c r="E3" s="38"/>
      <c r="F3" s="38"/>
      <c r="G3" s="38"/>
      <c r="H3" s="38"/>
      <c r="I3" s="38"/>
      <c r="J3" s="35"/>
      <c r="K3" s="35"/>
      <c r="L3" s="35"/>
    </row>
    <row r="4" spans="1:5" ht="12.75">
      <c r="A4" s="6"/>
      <c r="B4" s="6"/>
      <c r="C4" s="6"/>
      <c r="D4" s="6"/>
      <c r="E4" s="6"/>
    </row>
    <row r="5" spans="1:5" ht="12.75">
      <c r="A5" s="52"/>
      <c r="B5" s="9" t="s">
        <v>21</v>
      </c>
      <c r="C5" s="42"/>
      <c r="D5" s="9" t="s">
        <v>21</v>
      </c>
      <c r="E5" s="38"/>
    </row>
    <row r="6" spans="1:5" ht="12.75">
      <c r="A6" s="52"/>
      <c r="B6" s="9" t="s">
        <v>22</v>
      </c>
      <c r="C6" s="42"/>
      <c r="D6" s="9" t="s">
        <v>23</v>
      </c>
      <c r="E6" s="38"/>
    </row>
    <row r="7" spans="1:5" ht="12.75">
      <c r="A7" s="53"/>
      <c r="B7" s="13" t="s">
        <v>6</v>
      </c>
      <c r="C7" s="14" t="s">
        <v>7</v>
      </c>
      <c r="D7" s="13" t="s">
        <v>6</v>
      </c>
      <c r="E7" s="15" t="s">
        <v>7</v>
      </c>
    </row>
    <row r="8" spans="1:5" ht="25.5">
      <c r="A8" s="46" t="s">
        <v>17</v>
      </c>
      <c r="B8" s="18" t="s">
        <v>10</v>
      </c>
      <c r="C8" s="19" t="s">
        <v>11</v>
      </c>
      <c r="D8" s="18" t="s">
        <v>10</v>
      </c>
      <c r="E8" s="20" t="s">
        <v>11</v>
      </c>
    </row>
    <row r="9" spans="1:5" ht="12.75" hidden="1">
      <c r="A9" s="54" t="s">
        <v>24</v>
      </c>
      <c r="B9" s="23">
        <v>13850</v>
      </c>
      <c r="C9" s="23">
        <v>346.25</v>
      </c>
      <c r="D9" s="55">
        <v>11220</v>
      </c>
      <c r="E9" s="56">
        <v>281</v>
      </c>
    </row>
    <row r="10" spans="1:5" ht="12.75" hidden="1">
      <c r="A10" s="54" t="s">
        <v>25</v>
      </c>
      <c r="B10" s="57">
        <v>16620</v>
      </c>
      <c r="C10" s="57">
        <v>415.5</v>
      </c>
      <c r="D10" s="55">
        <v>13464</v>
      </c>
      <c r="E10">
        <v>337</v>
      </c>
    </row>
    <row r="11" spans="1:5" ht="12.75" hidden="1">
      <c r="A11" s="54" t="s">
        <v>26</v>
      </c>
      <c r="B11" s="57">
        <v>19390</v>
      </c>
      <c r="C11" s="57">
        <v>484.75</v>
      </c>
      <c r="D11" s="55">
        <v>15708</v>
      </c>
      <c r="E11">
        <v>393</v>
      </c>
    </row>
    <row r="12" spans="1:5" ht="12.75" hidden="1">
      <c r="A12" s="54" t="s">
        <v>27</v>
      </c>
      <c r="B12" s="57">
        <v>22160</v>
      </c>
      <c r="C12" s="57">
        <v>554</v>
      </c>
      <c r="D12" s="55">
        <v>17952</v>
      </c>
      <c r="E12">
        <v>449</v>
      </c>
    </row>
    <row r="13" spans="1:5" ht="12.75" hidden="1">
      <c r="A13" s="54" t="s">
        <v>28</v>
      </c>
      <c r="B13" s="57">
        <v>24930</v>
      </c>
      <c r="C13" s="57">
        <v>623.25</v>
      </c>
      <c r="D13" s="55">
        <v>20196</v>
      </c>
      <c r="E13">
        <v>505</v>
      </c>
    </row>
    <row r="14" spans="1:5" ht="12.75">
      <c r="A14" s="54" t="s">
        <v>29</v>
      </c>
      <c r="B14" s="23">
        <f>30280*1.03</f>
        <v>31188.4</v>
      </c>
      <c r="C14" s="32">
        <f aca="true" t="shared" si="0" ref="C14:C34">C15-10</f>
        <v>550</v>
      </c>
      <c r="D14" s="23">
        <f>24530*1.03</f>
        <v>25265.9</v>
      </c>
      <c r="E14" s="32">
        <f aca="true" t="shared" si="1" ref="E14:E24">E15-10</f>
        <v>650</v>
      </c>
    </row>
    <row r="15" spans="1:5" ht="12.75">
      <c r="A15" s="54" t="s">
        <v>30</v>
      </c>
      <c r="B15" s="32">
        <f>31396*1.03</f>
        <v>32337.88</v>
      </c>
      <c r="C15" s="32">
        <f t="shared" si="0"/>
        <v>560</v>
      </c>
      <c r="D15" s="32">
        <f>25646*1.03</f>
        <v>26415.38</v>
      </c>
      <c r="E15" s="32">
        <f t="shared" si="1"/>
        <v>660</v>
      </c>
    </row>
    <row r="16" spans="1:5" ht="12.75">
      <c r="A16" s="58" t="s">
        <v>31</v>
      </c>
      <c r="B16" s="32">
        <f>32512*1.03</f>
        <v>33487.36</v>
      </c>
      <c r="C16" s="32">
        <f t="shared" si="0"/>
        <v>570</v>
      </c>
      <c r="D16" s="32">
        <f>26762*1.03</f>
        <v>27564.86</v>
      </c>
      <c r="E16" s="32">
        <f t="shared" si="1"/>
        <v>670</v>
      </c>
    </row>
    <row r="17" spans="1:5" ht="12.75">
      <c r="A17" s="58" t="s">
        <v>32</v>
      </c>
      <c r="B17" s="32">
        <f>33628*1.03</f>
        <v>34636.840000000004</v>
      </c>
      <c r="C17" s="32">
        <f t="shared" si="0"/>
        <v>580</v>
      </c>
      <c r="D17" s="32">
        <f>27878*1.03</f>
        <v>28714.34</v>
      </c>
      <c r="E17" s="32">
        <f t="shared" si="1"/>
        <v>680</v>
      </c>
    </row>
    <row r="18" spans="1:5" ht="12.75">
      <c r="A18" s="58" t="s">
        <v>33</v>
      </c>
      <c r="B18" s="32">
        <f>34744*1.03</f>
        <v>35786.32</v>
      </c>
      <c r="C18" s="32">
        <f t="shared" si="0"/>
        <v>590</v>
      </c>
      <c r="D18" s="32">
        <f>28994*1.03</f>
        <v>29863.82</v>
      </c>
      <c r="E18" s="32">
        <f t="shared" si="1"/>
        <v>690</v>
      </c>
    </row>
    <row r="19" spans="1:5" ht="12.75">
      <c r="A19" s="59" t="s">
        <v>34</v>
      </c>
      <c r="B19" s="12">
        <f>35860*1.03</f>
        <v>36935.8</v>
      </c>
      <c r="C19" s="12">
        <f t="shared" si="0"/>
        <v>600</v>
      </c>
      <c r="D19" s="12">
        <f>30110*1.03</f>
        <v>31013.3</v>
      </c>
      <c r="E19" s="12">
        <f t="shared" si="1"/>
        <v>700</v>
      </c>
    </row>
    <row r="20" spans="1:5" ht="12.75">
      <c r="A20" s="60" t="s">
        <v>35</v>
      </c>
      <c r="B20" s="32">
        <f>36976*1.03</f>
        <v>38085.28</v>
      </c>
      <c r="C20" s="32">
        <f t="shared" si="0"/>
        <v>610</v>
      </c>
      <c r="D20" s="32">
        <f>31226*1.03</f>
        <v>32162.780000000002</v>
      </c>
      <c r="E20" s="32">
        <f t="shared" si="1"/>
        <v>710</v>
      </c>
    </row>
    <row r="21" spans="1:5" ht="12.75">
      <c r="A21" s="61" t="s">
        <v>36</v>
      </c>
      <c r="B21" s="32">
        <f>38092*1.03</f>
        <v>39234.76</v>
      </c>
      <c r="C21" s="32">
        <f t="shared" si="0"/>
        <v>620</v>
      </c>
      <c r="D21" s="32">
        <f>32342*1.03</f>
        <v>33312.26</v>
      </c>
      <c r="E21" s="32">
        <f t="shared" si="1"/>
        <v>720</v>
      </c>
    </row>
    <row r="22" spans="1:5" ht="12.75">
      <c r="A22" s="61" t="s">
        <v>37</v>
      </c>
      <c r="B22" s="32">
        <f>39208*1.03</f>
        <v>40384.24</v>
      </c>
      <c r="C22" s="32">
        <f t="shared" si="0"/>
        <v>630</v>
      </c>
      <c r="D22" s="32">
        <f>33458*1.03</f>
        <v>34461.74</v>
      </c>
      <c r="E22" s="32">
        <f t="shared" si="1"/>
        <v>730</v>
      </c>
    </row>
    <row r="23" spans="1:5" ht="12.75">
      <c r="A23" s="61" t="s">
        <v>38</v>
      </c>
      <c r="B23" s="32">
        <f>40324*1.03</f>
        <v>41533.72</v>
      </c>
      <c r="C23" s="32">
        <f t="shared" si="0"/>
        <v>640</v>
      </c>
      <c r="D23" s="32">
        <f>34574*1.03</f>
        <v>35611.22</v>
      </c>
      <c r="E23" s="32">
        <f t="shared" si="1"/>
        <v>740</v>
      </c>
    </row>
    <row r="24" spans="1:5" ht="12.75">
      <c r="A24" s="59" t="s">
        <v>39</v>
      </c>
      <c r="B24" s="12">
        <f>41440*1.03</f>
        <v>42683.200000000004</v>
      </c>
      <c r="C24" s="12">
        <f t="shared" si="0"/>
        <v>650</v>
      </c>
      <c r="D24" s="12">
        <f>35690*1.03</f>
        <v>36760.700000000004</v>
      </c>
      <c r="E24" s="12">
        <f t="shared" si="1"/>
        <v>750</v>
      </c>
    </row>
    <row r="25" spans="1:5" ht="12.75">
      <c r="A25" s="61" t="s">
        <v>40</v>
      </c>
      <c r="B25" s="32">
        <f>42555*1.03</f>
        <v>43831.65</v>
      </c>
      <c r="C25" s="32">
        <f t="shared" si="0"/>
        <v>660</v>
      </c>
      <c r="D25" s="32">
        <f>39595*1.03</f>
        <v>40782.85</v>
      </c>
      <c r="E25" s="32">
        <v>760</v>
      </c>
    </row>
    <row r="26" spans="1:5" ht="12.75">
      <c r="A26" s="61" t="s">
        <v>41</v>
      </c>
      <c r="B26" s="32">
        <f>43671*1.03</f>
        <v>44981.130000000005</v>
      </c>
      <c r="C26" s="32">
        <f t="shared" si="0"/>
        <v>670</v>
      </c>
      <c r="D26" s="32"/>
      <c r="E26" s="32"/>
    </row>
    <row r="27" spans="1:5" ht="12.75">
      <c r="A27" s="61" t="s">
        <v>42</v>
      </c>
      <c r="B27" s="32">
        <f>44787*1.03</f>
        <v>46130.61</v>
      </c>
      <c r="C27" s="32">
        <f t="shared" si="0"/>
        <v>680</v>
      </c>
      <c r="D27" s="32"/>
      <c r="E27" s="32"/>
    </row>
    <row r="28" spans="1:5" ht="12.75">
      <c r="A28" s="61" t="s">
        <v>43</v>
      </c>
      <c r="B28" s="32">
        <f>45903*1.03</f>
        <v>47280.090000000004</v>
      </c>
      <c r="C28" s="32">
        <f t="shared" si="0"/>
        <v>690</v>
      </c>
      <c r="D28" s="32"/>
      <c r="E28" s="32"/>
    </row>
    <row r="29" spans="1:5" ht="12.75">
      <c r="A29" s="59" t="s">
        <v>44</v>
      </c>
      <c r="B29" s="12">
        <f>47019*1.03</f>
        <v>48429.57</v>
      </c>
      <c r="C29" s="12">
        <f t="shared" si="0"/>
        <v>700</v>
      </c>
      <c r="D29" s="32"/>
      <c r="E29" s="32"/>
    </row>
    <row r="30" spans="1:5" ht="12.75">
      <c r="A30" s="60" t="s">
        <v>45</v>
      </c>
      <c r="B30" s="32">
        <f>48135*1.03</f>
        <v>49579.05</v>
      </c>
      <c r="C30" s="32">
        <f t="shared" si="0"/>
        <v>710</v>
      </c>
      <c r="D30" s="62"/>
      <c r="E30" s="6"/>
    </row>
    <row r="31" spans="1:5" ht="12.75">
      <c r="A31" s="60" t="s">
        <v>46</v>
      </c>
      <c r="B31" s="32">
        <f>49251*1.03</f>
        <v>50728.53</v>
      </c>
      <c r="C31" s="32">
        <f t="shared" si="0"/>
        <v>720</v>
      </c>
      <c r="D31" s="62"/>
      <c r="E31" s="6"/>
    </row>
    <row r="32" spans="1:5" ht="12.75">
      <c r="A32" s="60" t="s">
        <v>47</v>
      </c>
      <c r="B32" s="32">
        <f>50367*1.03</f>
        <v>51878.01</v>
      </c>
      <c r="C32" s="32">
        <f t="shared" si="0"/>
        <v>730</v>
      </c>
      <c r="D32" s="62"/>
      <c r="E32" s="6"/>
    </row>
    <row r="33" spans="1:5" ht="12.75">
      <c r="A33" s="60" t="s">
        <v>48</v>
      </c>
      <c r="B33" s="32">
        <f>51483*1.03</f>
        <v>53027.49</v>
      </c>
      <c r="C33" s="32">
        <f t="shared" si="0"/>
        <v>740</v>
      </c>
      <c r="D33" s="62"/>
      <c r="E33" s="6"/>
    </row>
    <row r="34" spans="1:5" ht="12.75">
      <c r="A34" s="59" t="s">
        <v>49</v>
      </c>
      <c r="B34" s="12">
        <f>52599*1.03</f>
        <v>54176.97</v>
      </c>
      <c r="C34" s="12">
        <f t="shared" si="0"/>
        <v>750</v>
      </c>
      <c r="D34" s="62"/>
      <c r="E34" s="6"/>
    </row>
    <row r="35" spans="1:5" ht="12.75">
      <c r="A35" s="60" t="s">
        <v>50</v>
      </c>
      <c r="B35" s="32">
        <f>56505*1.03</f>
        <v>58200.15</v>
      </c>
      <c r="C35" s="32">
        <v>760</v>
      </c>
      <c r="D35" s="62"/>
      <c r="E35" s="6"/>
    </row>
    <row r="36" spans="1:5" ht="12.75">
      <c r="A36" s="60"/>
      <c r="B36" s="32"/>
      <c r="C36" s="32"/>
      <c r="D36" s="62"/>
      <c r="E36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G29" sqref="G29"/>
    </sheetView>
  </sheetViews>
  <sheetFormatPr defaultColWidth="9.140625" defaultRowHeight="12.75"/>
  <cols>
    <col min="1" max="1" width="11.00390625" style="0" customWidth="1"/>
    <col min="2" max="2" width="5.7109375" style="0" customWidth="1"/>
    <col min="3" max="3" width="11.8515625" style="0" customWidth="1"/>
    <col min="4" max="4" width="11.57421875" style="0" customWidth="1"/>
    <col min="5" max="6" width="11.421875" style="0" customWidth="1"/>
    <col min="7" max="7" width="11.00390625" style="0" customWidth="1"/>
    <col min="8" max="14" width="12.7109375" style="0" customWidth="1"/>
    <col min="15" max="15" width="10.28125" style="0" customWidth="1"/>
    <col min="16" max="19" width="12.7109375" style="0" customWidth="1"/>
    <col min="21" max="21" width="10.7109375" style="0" customWidth="1"/>
  </cols>
  <sheetData>
    <row r="1" spans="1:21" ht="20.25">
      <c r="A1" s="1" t="s">
        <v>18</v>
      </c>
      <c r="B1" s="35"/>
      <c r="C1" s="35"/>
      <c r="D1" s="35"/>
      <c r="E1" s="35"/>
      <c r="F1" s="35"/>
      <c r="G1" s="35"/>
      <c r="H1" s="67" t="s">
        <v>52</v>
      </c>
      <c r="J1" s="2"/>
      <c r="K1" s="2"/>
      <c r="L1" s="2"/>
      <c r="M1" s="2"/>
      <c r="N1" s="2"/>
      <c r="T1" s="36"/>
      <c r="U1" s="37"/>
    </row>
    <row r="2" spans="1:14" ht="15" hidden="1">
      <c r="A2" s="3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8" ht="15">
      <c r="A3" s="4"/>
      <c r="B3" s="5"/>
      <c r="C3" s="5"/>
      <c r="D3" s="5"/>
      <c r="E3" s="5"/>
      <c r="F3" s="5"/>
      <c r="G3" s="5"/>
      <c r="H3" s="5"/>
    </row>
    <row r="4" spans="1:16" ht="12.75" hidden="1">
      <c r="A4" s="6" t="s">
        <v>1</v>
      </c>
      <c r="B4" s="6"/>
      <c r="C4" s="6" t="s">
        <v>15</v>
      </c>
      <c r="D4" s="6"/>
      <c r="E4" s="6"/>
      <c r="F4" s="6"/>
      <c r="G4" s="6"/>
      <c r="H4" s="6"/>
      <c r="N4" s="34"/>
      <c r="O4" s="34"/>
      <c r="P4" s="34"/>
    </row>
    <row r="5" spans="1:21" ht="12.75">
      <c r="A5" s="66" t="s">
        <v>16</v>
      </c>
      <c r="B5" s="39"/>
      <c r="C5" s="39"/>
      <c r="D5" s="39"/>
      <c r="E5" s="39"/>
      <c r="F5" s="39"/>
      <c r="G5" s="39"/>
      <c r="H5" s="39"/>
      <c r="N5" s="21"/>
      <c r="O5" s="40"/>
      <c r="P5" s="21"/>
      <c r="Q5" s="37"/>
      <c r="R5" s="37"/>
      <c r="S5" s="34"/>
      <c r="T5" s="34"/>
      <c r="U5" s="34"/>
    </row>
    <row r="6" spans="1:21" ht="12.75">
      <c r="A6" s="41"/>
      <c r="B6" s="8"/>
      <c r="C6" s="9" t="s">
        <v>3</v>
      </c>
      <c r="D6" s="42"/>
      <c r="E6" s="9" t="s">
        <v>4</v>
      </c>
      <c r="F6" s="42"/>
      <c r="G6" s="43" t="s">
        <v>5</v>
      </c>
      <c r="H6" s="39"/>
      <c r="N6" s="21"/>
      <c r="O6" s="40"/>
      <c r="P6" s="21"/>
      <c r="Q6" s="37"/>
      <c r="R6" s="37"/>
      <c r="S6" s="34"/>
      <c r="T6" s="34"/>
      <c r="U6" s="34"/>
    </row>
    <row r="7" spans="1:20" ht="12.75">
      <c r="A7" s="8"/>
      <c r="B7" s="44"/>
      <c r="C7" s="13" t="s">
        <v>6</v>
      </c>
      <c r="D7" s="14" t="s">
        <v>7</v>
      </c>
      <c r="E7" s="13" t="s">
        <v>6</v>
      </c>
      <c r="F7" s="14" t="s">
        <v>7</v>
      </c>
      <c r="G7" s="13" t="s">
        <v>6</v>
      </c>
      <c r="H7" s="15" t="s">
        <v>7</v>
      </c>
      <c r="N7" s="37"/>
      <c r="O7" s="45"/>
      <c r="P7" s="45"/>
      <c r="Q7" s="37"/>
      <c r="R7" s="34"/>
      <c r="S7" s="34"/>
      <c r="T7" s="34"/>
    </row>
    <row r="8" spans="1:20" ht="25.5">
      <c r="A8" s="46" t="s">
        <v>17</v>
      </c>
      <c r="B8" s="47" t="s">
        <v>9</v>
      </c>
      <c r="C8" s="18" t="s">
        <v>10</v>
      </c>
      <c r="D8" s="19" t="s">
        <v>11</v>
      </c>
      <c r="E8" s="18" t="s">
        <v>10</v>
      </c>
      <c r="F8" s="19" t="s">
        <v>11</v>
      </c>
      <c r="G8" s="18" t="s">
        <v>10</v>
      </c>
      <c r="H8" s="20" t="s">
        <v>11</v>
      </c>
      <c r="N8" s="37"/>
      <c r="O8" s="45"/>
      <c r="P8" s="48"/>
      <c r="Q8" s="48"/>
      <c r="R8" s="34"/>
      <c r="S8" s="34"/>
      <c r="T8" s="34"/>
    </row>
    <row r="9" spans="1:20" ht="12.75">
      <c r="A9" s="21" t="s">
        <v>12</v>
      </c>
      <c r="B9" s="22">
        <v>0</v>
      </c>
      <c r="C9" s="23">
        <f>34461*1.03</f>
        <v>35494.83</v>
      </c>
      <c r="D9" s="23">
        <f aca="true" t="shared" si="0" ref="D9:D29">D10-10</f>
        <v>870</v>
      </c>
      <c r="E9" s="23">
        <f>27429*1.03</f>
        <v>28251.87</v>
      </c>
      <c r="F9" s="65">
        <v>870</v>
      </c>
      <c r="G9" s="65">
        <f>27429*1.03</f>
        <v>28251.87</v>
      </c>
      <c r="H9" s="65">
        <v>870</v>
      </c>
      <c r="N9" s="37"/>
      <c r="O9" s="45"/>
      <c r="P9" s="48"/>
      <c r="Q9" s="48"/>
      <c r="R9" s="34"/>
      <c r="S9" s="34"/>
      <c r="T9" s="34"/>
    </row>
    <row r="10" spans="1:20" ht="12.75">
      <c r="A10" s="24">
        <v>20</v>
      </c>
      <c r="B10" s="25">
        <v>0</v>
      </c>
      <c r="C10" s="26">
        <f>45948*1.03</f>
        <v>47326.44</v>
      </c>
      <c r="D10" s="27">
        <f t="shared" si="0"/>
        <v>880</v>
      </c>
      <c r="E10" s="26">
        <f>36573*1.03</f>
        <v>37670.19</v>
      </c>
      <c r="F10" s="27">
        <f>F11-10</f>
        <v>880</v>
      </c>
      <c r="G10" s="26">
        <f>36573*1.03</f>
        <v>37670.19</v>
      </c>
      <c r="H10" s="27">
        <f>H11-10</f>
        <v>880</v>
      </c>
      <c r="N10" s="34"/>
      <c r="O10" s="34"/>
      <c r="P10" s="34"/>
      <c r="Q10" s="34"/>
      <c r="R10" s="34"/>
      <c r="S10" s="34"/>
      <c r="T10" s="34"/>
    </row>
    <row r="11" spans="1:20" ht="12.75">
      <c r="A11" s="28">
        <v>21</v>
      </c>
      <c r="B11" s="29">
        <v>0</v>
      </c>
      <c r="C11" s="30">
        <f>48245*1.03</f>
        <v>49692.35</v>
      </c>
      <c r="D11" s="23">
        <f t="shared" si="0"/>
        <v>890</v>
      </c>
      <c r="E11" s="30">
        <f>38401*1.03</f>
        <v>39553.03</v>
      </c>
      <c r="F11" s="23">
        <f aca="true" t="shared" si="1" ref="F11:H13">F12-10</f>
        <v>890</v>
      </c>
      <c r="G11" s="30">
        <f>38401*1.03</f>
        <v>39553.03</v>
      </c>
      <c r="H11" s="23">
        <f t="shared" si="1"/>
        <v>890</v>
      </c>
      <c r="N11" s="34"/>
      <c r="O11" s="34"/>
      <c r="P11" s="34"/>
      <c r="Q11" s="34"/>
      <c r="R11" s="34"/>
      <c r="S11" s="34"/>
      <c r="T11" s="34"/>
    </row>
    <row r="12" spans="1:20" ht="12.75">
      <c r="A12" s="28">
        <v>22</v>
      </c>
      <c r="B12" s="29">
        <v>0</v>
      </c>
      <c r="C12" s="30">
        <f>50542*1.03</f>
        <v>52058.26</v>
      </c>
      <c r="D12" s="23">
        <f t="shared" si="0"/>
        <v>900</v>
      </c>
      <c r="E12" s="30">
        <f>40230*1.03</f>
        <v>41436.9</v>
      </c>
      <c r="F12" s="23">
        <f t="shared" si="1"/>
        <v>900</v>
      </c>
      <c r="G12" s="30">
        <f>40230*1.03</f>
        <v>41436.9</v>
      </c>
      <c r="H12" s="23">
        <f t="shared" si="1"/>
        <v>900</v>
      </c>
      <c r="N12" s="34"/>
      <c r="O12" s="34"/>
      <c r="P12" s="34"/>
      <c r="Q12" s="34"/>
      <c r="R12" s="34"/>
      <c r="S12" s="34"/>
      <c r="T12" s="34"/>
    </row>
    <row r="13" spans="1:20" ht="12.75">
      <c r="A13" s="28">
        <v>23</v>
      </c>
      <c r="B13" s="29">
        <v>0</v>
      </c>
      <c r="C13" s="30">
        <f>52840*1.03</f>
        <v>54425.200000000004</v>
      </c>
      <c r="D13" s="23">
        <f t="shared" si="0"/>
        <v>910</v>
      </c>
      <c r="E13" s="30">
        <f>42058*1.03</f>
        <v>43319.74</v>
      </c>
      <c r="F13" s="23">
        <f t="shared" si="1"/>
        <v>910</v>
      </c>
      <c r="G13" s="30">
        <f>42058*1.03</f>
        <v>43319.74</v>
      </c>
      <c r="H13" s="23">
        <f t="shared" si="1"/>
        <v>910</v>
      </c>
      <c r="N13" s="34"/>
      <c r="O13" s="34"/>
      <c r="P13" s="34"/>
      <c r="Q13" s="34"/>
      <c r="R13" s="34"/>
      <c r="S13" s="34"/>
      <c r="T13" s="34"/>
    </row>
    <row r="14" spans="1:20" ht="12.75">
      <c r="A14" s="28">
        <v>24</v>
      </c>
      <c r="B14" s="29">
        <v>0</v>
      </c>
      <c r="C14" s="30">
        <f>55137*1.03</f>
        <v>56791.11</v>
      </c>
      <c r="D14" s="23">
        <f t="shared" si="0"/>
        <v>920</v>
      </c>
      <c r="E14" s="30">
        <f>43887*1.03</f>
        <v>45203.61</v>
      </c>
      <c r="F14" s="23">
        <f>F15-10</f>
        <v>920</v>
      </c>
      <c r="G14" s="30">
        <f>43887*1.03</f>
        <v>45203.61</v>
      </c>
      <c r="H14" s="23">
        <f>H15-10</f>
        <v>920</v>
      </c>
      <c r="N14" s="34"/>
      <c r="O14" s="34"/>
      <c r="P14" s="34"/>
      <c r="Q14" s="34"/>
      <c r="R14" s="34"/>
      <c r="S14" s="34"/>
      <c r="T14" s="34"/>
    </row>
    <row r="15" spans="1:20" ht="12.75">
      <c r="A15" s="24">
        <v>25</v>
      </c>
      <c r="B15" s="24">
        <v>0</v>
      </c>
      <c r="C15" s="27">
        <f>57435*1.03</f>
        <v>59158.05</v>
      </c>
      <c r="D15" s="27">
        <f t="shared" si="0"/>
        <v>930</v>
      </c>
      <c r="E15" s="27">
        <f>45716*1.03</f>
        <v>47087.48</v>
      </c>
      <c r="F15" s="27">
        <f>F16-10</f>
        <v>930</v>
      </c>
      <c r="G15" s="27">
        <f>45716*1.03</f>
        <v>47087.48</v>
      </c>
      <c r="H15" s="27">
        <f>H16-10</f>
        <v>930</v>
      </c>
      <c r="N15" s="37"/>
      <c r="O15" s="37"/>
      <c r="P15" s="37"/>
      <c r="Q15" s="37"/>
      <c r="R15" s="34"/>
      <c r="S15" s="34"/>
      <c r="T15" s="34"/>
    </row>
    <row r="16" spans="1:20" ht="12.75">
      <c r="A16" s="31">
        <v>26</v>
      </c>
      <c r="B16" s="31">
        <v>1</v>
      </c>
      <c r="C16" s="32">
        <f>58550*1.03</f>
        <v>60306.5</v>
      </c>
      <c r="D16" s="32">
        <f t="shared" si="0"/>
        <v>940</v>
      </c>
      <c r="E16" s="32">
        <f>46832*1.03</f>
        <v>48236.96</v>
      </c>
      <c r="F16" s="32">
        <f aca="true" t="shared" si="2" ref="F16:H18">F17-10</f>
        <v>940</v>
      </c>
      <c r="G16" s="32">
        <f>46832*1.03</f>
        <v>48236.96</v>
      </c>
      <c r="H16" s="32">
        <f t="shared" si="2"/>
        <v>940</v>
      </c>
      <c r="N16" s="37"/>
      <c r="O16" s="37"/>
      <c r="P16" s="37"/>
      <c r="Q16" s="37"/>
      <c r="R16" s="34"/>
      <c r="S16" s="34"/>
      <c r="T16" s="34"/>
    </row>
    <row r="17" spans="1:20" ht="12.75">
      <c r="A17" s="31">
        <v>27</v>
      </c>
      <c r="B17" s="31">
        <v>2</v>
      </c>
      <c r="C17" s="32">
        <f>59666*1.03</f>
        <v>61455.98</v>
      </c>
      <c r="D17" s="32">
        <f t="shared" si="0"/>
        <v>950</v>
      </c>
      <c r="E17" s="32">
        <f>47948*1.03</f>
        <v>49386.44</v>
      </c>
      <c r="F17" s="32">
        <f t="shared" si="2"/>
        <v>950</v>
      </c>
      <c r="G17" s="32">
        <f>47948*1.03</f>
        <v>49386.44</v>
      </c>
      <c r="H17" s="32">
        <f t="shared" si="2"/>
        <v>950</v>
      </c>
      <c r="N17" s="37"/>
      <c r="O17" s="37"/>
      <c r="P17" s="37"/>
      <c r="Q17" s="37"/>
      <c r="R17" s="34"/>
      <c r="S17" s="34"/>
      <c r="T17" s="34"/>
    </row>
    <row r="18" spans="1:20" ht="12.75">
      <c r="A18" s="31">
        <v>28</v>
      </c>
      <c r="B18" s="31">
        <v>3</v>
      </c>
      <c r="C18" s="32">
        <f>60782*1.03</f>
        <v>62605.46</v>
      </c>
      <c r="D18" s="32">
        <f t="shared" si="0"/>
        <v>960</v>
      </c>
      <c r="E18" s="32">
        <f>49064*1.03</f>
        <v>50535.92</v>
      </c>
      <c r="F18" s="32">
        <f t="shared" si="2"/>
        <v>960</v>
      </c>
      <c r="G18" s="32">
        <f>49064*1.03</f>
        <v>50535.92</v>
      </c>
      <c r="H18" s="32">
        <f t="shared" si="2"/>
        <v>960</v>
      </c>
      <c r="N18" s="37"/>
      <c r="O18" s="37"/>
      <c r="P18" s="37"/>
      <c r="Q18" s="37"/>
      <c r="R18" s="34"/>
      <c r="S18" s="34"/>
      <c r="T18" s="34"/>
    </row>
    <row r="19" spans="1:20" ht="12.75">
      <c r="A19" s="31">
        <v>29</v>
      </c>
      <c r="B19" s="31">
        <v>4</v>
      </c>
      <c r="C19" s="32">
        <f>61898*1.03</f>
        <v>63754.94</v>
      </c>
      <c r="D19" s="32">
        <f t="shared" si="0"/>
        <v>970</v>
      </c>
      <c r="E19" s="32">
        <f>50180*1.03</f>
        <v>51685.4</v>
      </c>
      <c r="F19" s="32">
        <f>F20-10</f>
        <v>970</v>
      </c>
      <c r="G19" s="32">
        <f>50180*1.03</f>
        <v>51685.4</v>
      </c>
      <c r="H19" s="32">
        <f>H20-10</f>
        <v>970</v>
      </c>
      <c r="N19" s="37"/>
      <c r="O19" s="37"/>
      <c r="P19" s="37"/>
      <c r="Q19" s="37"/>
      <c r="R19" s="34"/>
      <c r="S19" s="34"/>
      <c r="T19" s="34"/>
    </row>
    <row r="20" spans="1:20" ht="12.75">
      <c r="A20" s="24">
        <v>30</v>
      </c>
      <c r="B20" s="24">
        <v>5</v>
      </c>
      <c r="C20" s="12">
        <f>63014*1.03</f>
        <v>64904.42</v>
      </c>
      <c r="D20" s="12">
        <f t="shared" si="0"/>
        <v>980</v>
      </c>
      <c r="E20" s="12">
        <f>51296*1.03</f>
        <v>52834.880000000005</v>
      </c>
      <c r="F20" s="12">
        <f>F21-10</f>
        <v>980</v>
      </c>
      <c r="G20" s="12">
        <f>51296*1.03</f>
        <v>52834.880000000005</v>
      </c>
      <c r="H20" s="12">
        <f>H21-10</f>
        <v>980</v>
      </c>
      <c r="N20" s="37"/>
      <c r="O20" s="37"/>
      <c r="P20" s="37"/>
      <c r="Q20" s="37"/>
      <c r="R20" s="34"/>
      <c r="S20" s="34"/>
      <c r="T20" s="34"/>
    </row>
    <row r="21" spans="1:20" ht="12.75">
      <c r="A21" s="33">
        <v>31</v>
      </c>
      <c r="B21" s="33">
        <v>6</v>
      </c>
      <c r="C21" s="32">
        <f>64130*1.03</f>
        <v>66053.90000000001</v>
      </c>
      <c r="D21" s="32">
        <f t="shared" si="0"/>
        <v>990</v>
      </c>
      <c r="E21" s="32">
        <f>52412*1.03</f>
        <v>53984.36</v>
      </c>
      <c r="F21" s="32">
        <f aca="true" t="shared" si="3" ref="F21:H23">F22-10</f>
        <v>990</v>
      </c>
      <c r="G21" s="32">
        <f>52412*1.03</f>
        <v>53984.36</v>
      </c>
      <c r="H21" s="32">
        <f t="shared" si="3"/>
        <v>990</v>
      </c>
      <c r="N21" s="37"/>
      <c r="O21" s="37"/>
      <c r="P21" s="37"/>
      <c r="Q21" s="37"/>
      <c r="R21" s="34"/>
      <c r="S21" s="34"/>
      <c r="T21" s="34"/>
    </row>
    <row r="22" spans="1:20" ht="12.75">
      <c r="A22" s="33">
        <v>32</v>
      </c>
      <c r="B22" s="33">
        <v>7</v>
      </c>
      <c r="C22" s="32">
        <f>65246*1.03</f>
        <v>67203.38</v>
      </c>
      <c r="D22" s="32">
        <f t="shared" si="0"/>
        <v>1000</v>
      </c>
      <c r="E22" s="32">
        <f>53527*1.03</f>
        <v>55132.810000000005</v>
      </c>
      <c r="F22" s="32">
        <f t="shared" si="3"/>
        <v>1000</v>
      </c>
      <c r="G22" s="32">
        <f>53527*1.03</f>
        <v>55132.810000000005</v>
      </c>
      <c r="H22" s="32">
        <f t="shared" si="3"/>
        <v>1000</v>
      </c>
      <c r="N22" s="37"/>
      <c r="O22" s="37"/>
      <c r="P22" s="37"/>
      <c r="Q22" s="37"/>
      <c r="R22" s="34"/>
      <c r="S22" s="34"/>
      <c r="T22" s="34"/>
    </row>
    <row r="23" spans="1:20" ht="12.75">
      <c r="A23" s="33">
        <v>33</v>
      </c>
      <c r="B23" s="33">
        <v>8</v>
      </c>
      <c r="C23" s="32">
        <f>66362*1.03</f>
        <v>68352.86</v>
      </c>
      <c r="D23" s="32">
        <f t="shared" si="0"/>
        <v>1010</v>
      </c>
      <c r="E23" s="32">
        <f>54643*1.03</f>
        <v>56282.29</v>
      </c>
      <c r="F23" s="32">
        <f t="shared" si="3"/>
        <v>1010</v>
      </c>
      <c r="G23" s="32">
        <f>54643*1.03</f>
        <v>56282.29</v>
      </c>
      <c r="H23" s="32">
        <f t="shared" si="3"/>
        <v>1010</v>
      </c>
      <c r="N23" s="37"/>
      <c r="O23" s="37"/>
      <c r="P23" s="37"/>
      <c r="Q23" s="37"/>
      <c r="R23" s="34"/>
      <c r="S23" s="34"/>
      <c r="T23" s="34"/>
    </row>
    <row r="24" spans="1:20" ht="12.75">
      <c r="A24" s="33">
        <v>34</v>
      </c>
      <c r="B24" s="33">
        <v>9</v>
      </c>
      <c r="C24" s="32">
        <f>67478*1.03</f>
        <v>69502.34</v>
      </c>
      <c r="D24" s="32">
        <f t="shared" si="0"/>
        <v>1020</v>
      </c>
      <c r="E24" s="32">
        <f>55759*1.03</f>
        <v>57431.770000000004</v>
      </c>
      <c r="F24" s="32">
        <f>F25-10</f>
        <v>1020</v>
      </c>
      <c r="G24" s="32">
        <f>55759*1.03</f>
        <v>57431.770000000004</v>
      </c>
      <c r="H24" s="32">
        <f>H25-10</f>
        <v>1020</v>
      </c>
      <c r="N24" s="37"/>
      <c r="O24" s="37"/>
      <c r="P24" s="37"/>
      <c r="Q24" s="37"/>
      <c r="R24" s="34"/>
      <c r="S24" s="34"/>
      <c r="T24" s="34"/>
    </row>
    <row r="25" spans="1:20" ht="12.75">
      <c r="A25" s="24">
        <v>35</v>
      </c>
      <c r="B25" s="24">
        <v>10</v>
      </c>
      <c r="C25" s="12">
        <f>68594*1.03</f>
        <v>70651.82</v>
      </c>
      <c r="D25" s="12">
        <f t="shared" si="0"/>
        <v>1030</v>
      </c>
      <c r="E25" s="12">
        <f>56875*1.03</f>
        <v>58581.25</v>
      </c>
      <c r="F25" s="12">
        <f>F26-10</f>
        <v>1030</v>
      </c>
      <c r="G25" s="12">
        <f>56875*1.03</f>
        <v>58581.25</v>
      </c>
      <c r="H25" s="12">
        <f>H26-10</f>
        <v>1030</v>
      </c>
      <c r="N25" s="37"/>
      <c r="O25" s="37"/>
      <c r="P25" s="37"/>
      <c r="Q25" s="37"/>
      <c r="R25" s="34"/>
      <c r="S25" s="34"/>
      <c r="T25" s="34"/>
    </row>
    <row r="26" spans="1:20" ht="12.75">
      <c r="A26" s="33">
        <v>36</v>
      </c>
      <c r="B26" s="33">
        <v>11</v>
      </c>
      <c r="C26" s="32">
        <f>69710*1.03</f>
        <v>71801.3</v>
      </c>
      <c r="D26" s="32">
        <f t="shared" si="0"/>
        <v>1040</v>
      </c>
      <c r="E26" s="32">
        <f>57991*1.03</f>
        <v>59730.73</v>
      </c>
      <c r="F26" s="32">
        <f aca="true" t="shared" si="4" ref="F26:H28">F27-10</f>
        <v>1040</v>
      </c>
      <c r="G26" s="32">
        <f>57991*1.03</f>
        <v>59730.73</v>
      </c>
      <c r="H26" s="32">
        <f t="shared" si="4"/>
        <v>1040</v>
      </c>
      <c r="N26" s="37"/>
      <c r="O26" s="37"/>
      <c r="P26" s="37"/>
      <c r="Q26" s="37"/>
      <c r="R26" s="34"/>
      <c r="S26" s="34"/>
      <c r="T26" s="34"/>
    </row>
    <row r="27" spans="1:20" ht="12.75">
      <c r="A27" s="33">
        <v>37</v>
      </c>
      <c r="B27" s="33">
        <v>12</v>
      </c>
      <c r="C27" s="32">
        <f>70826*1.03</f>
        <v>72950.78</v>
      </c>
      <c r="D27" s="32">
        <f t="shared" si="0"/>
        <v>1050</v>
      </c>
      <c r="E27" s="32">
        <f>59107*1.03</f>
        <v>60880.21</v>
      </c>
      <c r="F27" s="32">
        <f t="shared" si="4"/>
        <v>1050</v>
      </c>
      <c r="G27" s="32">
        <f>59107*1.03</f>
        <v>60880.21</v>
      </c>
      <c r="H27" s="32">
        <f t="shared" si="4"/>
        <v>1050</v>
      </c>
      <c r="N27" s="37"/>
      <c r="O27" s="37"/>
      <c r="P27" s="37"/>
      <c r="Q27" s="37"/>
      <c r="R27" s="34"/>
      <c r="S27" s="34"/>
      <c r="T27" s="34"/>
    </row>
    <row r="28" spans="1:20" ht="12.75">
      <c r="A28" s="33">
        <v>38</v>
      </c>
      <c r="B28" s="33">
        <v>13</v>
      </c>
      <c r="C28" s="32">
        <f>71942*1.03</f>
        <v>74100.26</v>
      </c>
      <c r="D28" s="32">
        <f t="shared" si="0"/>
        <v>1060</v>
      </c>
      <c r="E28" s="32">
        <f>60223*1.03</f>
        <v>62029.69</v>
      </c>
      <c r="F28" s="32">
        <f t="shared" si="4"/>
        <v>1060</v>
      </c>
      <c r="G28" s="32">
        <f>60223*1.03</f>
        <v>62029.69</v>
      </c>
      <c r="H28" s="32">
        <f t="shared" si="4"/>
        <v>1060</v>
      </c>
      <c r="N28" s="37"/>
      <c r="O28" s="37"/>
      <c r="P28" s="37"/>
      <c r="Q28" s="37"/>
      <c r="R28" s="34"/>
      <c r="S28" s="34"/>
      <c r="T28" s="34"/>
    </row>
    <row r="29" spans="1:20" ht="12.75">
      <c r="A29" s="33">
        <v>39</v>
      </c>
      <c r="B29" s="33">
        <v>14</v>
      </c>
      <c r="C29" s="32">
        <f>73058*1.03</f>
        <v>75249.74</v>
      </c>
      <c r="D29" s="32">
        <f t="shared" si="0"/>
        <v>1070</v>
      </c>
      <c r="E29" s="32">
        <f>61339*1.03</f>
        <v>63179.17</v>
      </c>
      <c r="F29" s="32">
        <f>F30-10</f>
        <v>1070</v>
      </c>
      <c r="G29" s="32">
        <f>61339*1.03</f>
        <v>63179.17</v>
      </c>
      <c r="H29" s="32">
        <f>H30-10</f>
        <v>1070</v>
      </c>
      <c r="N29" s="37"/>
      <c r="O29" s="37"/>
      <c r="P29" s="37"/>
      <c r="Q29" s="37"/>
      <c r="R29" s="34"/>
      <c r="S29" s="34"/>
      <c r="T29" s="34"/>
    </row>
    <row r="30" spans="1:20" ht="12.75">
      <c r="A30" s="24">
        <v>40</v>
      </c>
      <c r="B30" s="24">
        <v>15</v>
      </c>
      <c r="C30" s="12">
        <f>74174*1.03</f>
        <v>76399.22</v>
      </c>
      <c r="D30" s="12">
        <v>1080</v>
      </c>
      <c r="E30" s="12">
        <f>62455*1.03</f>
        <v>64328.65</v>
      </c>
      <c r="F30" s="12">
        <f>F31-10</f>
        <v>1080</v>
      </c>
      <c r="G30" s="12">
        <f>62455*1.03</f>
        <v>64328.65</v>
      </c>
      <c r="H30" s="12">
        <f>H31-10</f>
        <v>1080</v>
      </c>
      <c r="N30" s="37"/>
      <c r="O30" s="37"/>
      <c r="P30" s="37"/>
      <c r="Q30" s="37"/>
      <c r="R30" s="34"/>
      <c r="S30" s="34"/>
      <c r="T30" s="34"/>
    </row>
    <row r="31" spans="1:21" ht="12.75">
      <c r="A31" s="33">
        <v>41</v>
      </c>
      <c r="B31" s="33">
        <v>16</v>
      </c>
      <c r="C31" s="32">
        <f>75290*1.03</f>
        <v>77548.7</v>
      </c>
      <c r="D31" s="32">
        <v>1090</v>
      </c>
      <c r="E31" s="32">
        <f>63571*1.03</f>
        <v>65478.130000000005</v>
      </c>
      <c r="F31" s="32">
        <f aca="true" t="shared" si="5" ref="F31:H33">F32-10</f>
        <v>1090</v>
      </c>
      <c r="G31" s="32">
        <f>63571*1.03</f>
        <v>65478.130000000005</v>
      </c>
      <c r="H31" s="32">
        <f t="shared" si="5"/>
        <v>1090</v>
      </c>
      <c r="N31" s="6"/>
      <c r="O31" s="34"/>
      <c r="P31" s="34"/>
      <c r="Q31" s="34"/>
      <c r="R31" s="34"/>
      <c r="S31" s="34"/>
      <c r="T31" s="34"/>
      <c r="U31" s="34"/>
    </row>
    <row r="32" spans="1:21" ht="12.75">
      <c r="A32" s="33">
        <v>42</v>
      </c>
      <c r="B32" s="33">
        <v>17</v>
      </c>
      <c r="C32" s="32">
        <f>76406*1.03</f>
        <v>78698.18000000001</v>
      </c>
      <c r="D32" s="32">
        <v>1100</v>
      </c>
      <c r="E32" s="32">
        <f>64687*1.03</f>
        <v>66627.61</v>
      </c>
      <c r="F32" s="32">
        <f t="shared" si="5"/>
        <v>1100</v>
      </c>
      <c r="G32" s="32">
        <f>64687*1.03</f>
        <v>66627.61</v>
      </c>
      <c r="H32" s="32">
        <f t="shared" si="5"/>
        <v>1100</v>
      </c>
      <c r="N32" s="6"/>
      <c r="O32" s="34"/>
      <c r="P32" s="34"/>
      <c r="Q32" s="34"/>
      <c r="R32" s="34"/>
      <c r="S32" s="34"/>
      <c r="T32" s="34"/>
      <c r="U32" s="34"/>
    </row>
    <row r="33" spans="1:21" ht="12.75">
      <c r="A33" s="33">
        <v>43</v>
      </c>
      <c r="B33" s="33">
        <v>18</v>
      </c>
      <c r="C33" s="32">
        <f>77522*1.03</f>
        <v>79847.66</v>
      </c>
      <c r="D33" s="32">
        <v>1110</v>
      </c>
      <c r="E33" s="32">
        <f>65803*1.03</f>
        <v>67777.09</v>
      </c>
      <c r="F33" s="32">
        <f t="shared" si="5"/>
        <v>1110</v>
      </c>
      <c r="G33" s="32">
        <f>65803*1.03</f>
        <v>67777.09</v>
      </c>
      <c r="H33" s="32">
        <f t="shared" si="5"/>
        <v>1110</v>
      </c>
      <c r="N33" s="6"/>
      <c r="O33" s="34"/>
      <c r="P33" s="34"/>
      <c r="Q33" s="34"/>
      <c r="R33" s="34"/>
      <c r="S33" s="34"/>
      <c r="T33" s="34"/>
      <c r="U33" s="34"/>
    </row>
    <row r="34" spans="1:21" ht="12.75">
      <c r="A34" s="33">
        <v>44</v>
      </c>
      <c r="B34" s="33">
        <v>19</v>
      </c>
      <c r="C34" s="32">
        <f>78638*1.03</f>
        <v>80997.14</v>
      </c>
      <c r="D34" s="32">
        <v>1120</v>
      </c>
      <c r="E34" s="32">
        <f>66919*1.03</f>
        <v>68926.57</v>
      </c>
      <c r="F34" s="32">
        <f>F35-10</f>
        <v>1120</v>
      </c>
      <c r="G34" s="32">
        <f>66919*1.03</f>
        <v>68926.57</v>
      </c>
      <c r="H34" s="32">
        <f>H35-10</f>
        <v>1120</v>
      </c>
      <c r="N34" s="6"/>
      <c r="O34" s="34"/>
      <c r="P34" s="34"/>
      <c r="Q34" s="34"/>
      <c r="R34" s="34"/>
      <c r="S34" s="34"/>
      <c r="T34" s="34"/>
      <c r="U34" s="34"/>
    </row>
    <row r="35" spans="1:21" ht="12.75">
      <c r="A35" s="24">
        <v>45</v>
      </c>
      <c r="B35" s="24">
        <v>20</v>
      </c>
      <c r="C35" s="12">
        <f>79754*1.03</f>
        <v>82146.62</v>
      </c>
      <c r="D35" s="12">
        <v>1130</v>
      </c>
      <c r="E35" s="12">
        <f>68035*1.03</f>
        <v>70076.05</v>
      </c>
      <c r="F35" s="12">
        <f>F36-10</f>
        <v>1130</v>
      </c>
      <c r="G35" s="12">
        <f>68035*1.03</f>
        <v>70076.05</v>
      </c>
      <c r="H35" s="12">
        <f>H36-10</f>
        <v>1130</v>
      </c>
      <c r="N35" s="6"/>
      <c r="O35" s="34"/>
      <c r="P35" s="34"/>
      <c r="Q35" s="34"/>
      <c r="R35" s="34"/>
      <c r="S35" s="34"/>
      <c r="T35" s="34"/>
      <c r="U35" s="34"/>
    </row>
    <row r="36" spans="1:21" ht="12.75">
      <c r="A36" s="33">
        <v>46</v>
      </c>
      <c r="B36" s="33">
        <v>21</v>
      </c>
      <c r="C36" s="32">
        <f>83660*1.03</f>
        <v>86169.8</v>
      </c>
      <c r="D36" s="32">
        <v>1140</v>
      </c>
      <c r="E36" s="32">
        <f>71941*1.03</f>
        <v>74099.23</v>
      </c>
      <c r="F36" s="32">
        <v>1140</v>
      </c>
      <c r="G36" s="32">
        <f>71941*1.03</f>
        <v>74099.23</v>
      </c>
      <c r="H36" s="32">
        <v>1140</v>
      </c>
      <c r="N36" s="6"/>
      <c r="O36" s="34"/>
      <c r="P36" s="34"/>
      <c r="Q36" s="34"/>
      <c r="R36" s="34"/>
      <c r="S36" s="34"/>
      <c r="T36" s="34"/>
      <c r="U36" s="34"/>
    </row>
    <row r="37" s="34" customFormat="1" ht="12.75"/>
    <row r="38" s="34" customFormat="1" ht="12.75">
      <c r="A38" s="34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Håkan Sundblad</cp:lastModifiedBy>
  <cp:lastPrinted>2001-08-30T13:24:23Z</cp:lastPrinted>
  <dcterms:created xsi:type="dcterms:W3CDTF">2000-10-25T15:44:13Z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