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959" activeTab="1"/>
  </bookViews>
  <sheets>
    <sheet name="Balans" sheetId="1" r:id="rId1"/>
    <sheet name="Sammanst" sheetId="2" r:id="rId2"/>
    <sheet name="Kultur gemensamt" sheetId="3" r:id="rId3"/>
    <sheet name="Kulturupplevelser" sheetId="4" r:id="rId4"/>
    <sheet name="Skapande verksamhet" sheetId="5" r:id="rId5"/>
    <sheet name="Arkiv och museum" sheetId="6" r:id="rId6"/>
    <sheet name="Kultur i vården" sheetId="7" r:id="rId7"/>
    <sheet name="Konst" sheetId="8" r:id="rId8"/>
    <sheet name="Föreningsbidrag" sheetId="9" r:id="rId9"/>
    <sheet name="Reception och konferens" sheetId="10" r:id="rId10"/>
    <sheet name="Uppdragsverksamhet" sheetId="11" r:id="rId11"/>
    <sheet name="Fördelning överskott från 2000" sheetId="12" r:id="rId12"/>
    <sheet name="Löner Kultur Nacka" sheetId="13" r:id="rId13"/>
    <sheet name="OH" sheetId="14" r:id="rId14"/>
    <sheet name="Timdebitering" sheetId="15" r:id="rId15"/>
  </sheets>
  <externalReferences>
    <externalReference r:id="rId18"/>
  </externalReferences>
  <definedNames>
    <definedName name="Fördelning_av_överskott_från_1999">'Fördelning överskott från 2000'!$A$1</definedName>
    <definedName name="Personbaserat">[1]!Personbaserat</definedName>
    <definedName name="Schablon">[1]!Schablon</definedName>
  </definedNames>
  <calcPr fullCalcOnLoad="1"/>
</workbook>
</file>

<file path=xl/comments11.xml><?xml version="1.0" encoding="utf-8"?>
<comments xmlns="http://schemas.openxmlformats.org/spreadsheetml/2006/main">
  <authors>
    <author>Win95 TP600</author>
  </authors>
  <commentList>
    <comment ref="B28" authorId="0">
      <text>
        <r>
          <rPr>
            <b/>
            <sz val="7"/>
            <rFont val="Tahoma"/>
            <family val="0"/>
          </rPr>
          <t>Win95 TP600:</t>
        </r>
        <r>
          <rPr>
            <sz val="7"/>
            <rFont val="Tahoma"/>
            <family val="0"/>
          </rPr>
          <t xml:space="preserve">
Inkl 10 ingående balans</t>
        </r>
      </text>
    </comment>
  </commentList>
</comments>
</file>

<file path=xl/comments3.xml><?xml version="1.0" encoding="utf-8"?>
<comments xmlns="http://schemas.openxmlformats.org/spreadsheetml/2006/main">
  <authors>
    <author>Win95 TP600</author>
  </authors>
  <commentList>
    <comment ref="B74" authorId="0">
      <text>
        <r>
          <rPr>
            <b/>
            <sz val="7"/>
            <rFont val="Tahoma"/>
            <family val="0"/>
          </rPr>
          <t>Win95 TP600:</t>
        </r>
        <r>
          <rPr>
            <sz val="7"/>
            <rFont val="Tahoma"/>
            <family val="0"/>
          </rPr>
          <t xml:space="preserve">
Marja datorinköp för 70 tkr + datorer för 45 tkr</t>
        </r>
      </text>
    </comment>
    <comment ref="B19" authorId="0">
      <text>
        <r>
          <rPr>
            <b/>
            <sz val="7"/>
            <rFont val="Tahoma"/>
            <family val="0"/>
          </rPr>
          <t>Win95 TP600:</t>
        </r>
        <r>
          <rPr>
            <sz val="7"/>
            <rFont val="Tahoma"/>
            <family val="0"/>
          </rPr>
          <t xml:space="preserve">
inkl 10 fysår + 100 kompetensutv</t>
        </r>
      </text>
    </comment>
    <comment ref="B9" authorId="0">
      <text>
        <r>
          <rPr>
            <b/>
            <sz val="7"/>
            <rFont val="Tahoma"/>
            <family val="0"/>
          </rPr>
          <t>Win95 TP600:</t>
        </r>
        <r>
          <rPr>
            <sz val="7"/>
            <rFont val="Tahoma"/>
            <family val="0"/>
          </rPr>
          <t xml:space="preserve">
- 71 tkr kapitalkost + 45 tkr eget kapital
</t>
        </r>
      </text>
    </comment>
    <comment ref="B30" authorId="0">
      <text>
        <r>
          <rPr>
            <b/>
            <sz val="7"/>
            <rFont val="Tahoma"/>
            <family val="0"/>
          </rPr>
          <t>Win95 TP600:</t>
        </r>
        <r>
          <rPr>
            <sz val="7"/>
            <rFont val="Tahoma"/>
            <family val="0"/>
          </rPr>
          <t xml:space="preserve">
10 tkr ingående balans fysåret</t>
        </r>
      </text>
    </comment>
  </commentList>
</comments>
</file>

<file path=xl/comments4.xml><?xml version="1.0" encoding="utf-8"?>
<comments xmlns="http://schemas.openxmlformats.org/spreadsheetml/2006/main">
  <authors>
    <author>Win95 TP600</author>
  </authors>
  <commentList>
    <comment ref="B46" authorId="0">
      <text>
        <r>
          <rPr>
            <b/>
            <sz val="7"/>
            <rFont val="Tahoma"/>
            <family val="0"/>
          </rPr>
          <t>Win95 TP600:</t>
        </r>
        <r>
          <rPr>
            <sz val="7"/>
            <rFont val="Tahoma"/>
            <family val="0"/>
          </rPr>
          <t xml:space="preserve">
Statsbidrag+bun bidrag(ingående balans)</t>
        </r>
      </text>
    </comment>
  </commentList>
</comments>
</file>

<file path=xl/sharedStrings.xml><?xml version="1.0" encoding="utf-8"?>
<sst xmlns="http://schemas.openxmlformats.org/spreadsheetml/2006/main" count="741" uniqueCount="351">
  <si>
    <t>KOSTNADER</t>
  </si>
  <si>
    <t>TKR</t>
  </si>
  <si>
    <t>INTÄKTER</t>
  </si>
  <si>
    <t>Summa kostnader</t>
  </si>
  <si>
    <t>Summa intäkter</t>
  </si>
  <si>
    <t>RESULTAT</t>
  </si>
  <si>
    <t>Belopp</t>
  </si>
  <si>
    <t>Ansvar</t>
  </si>
  <si>
    <t>Resurs</t>
  </si>
  <si>
    <t>Vht</t>
  </si>
  <si>
    <t>Akt</t>
  </si>
  <si>
    <t>Projekt</t>
  </si>
  <si>
    <t>Mp</t>
  </si>
  <si>
    <t>PO</t>
  </si>
  <si>
    <t>Administration</t>
  </si>
  <si>
    <t>Övrigt</t>
  </si>
  <si>
    <t>Köpt adm löner</t>
  </si>
  <si>
    <t>Köpt adm fakturor</t>
  </si>
  <si>
    <t>Porto</t>
  </si>
  <si>
    <t>Posthantering, vaktm</t>
  </si>
  <si>
    <t>Lön teatertekniker</t>
  </si>
  <si>
    <t>Kultur i vården</t>
  </si>
  <si>
    <t>Utställningar</t>
  </si>
  <si>
    <t>Lokalunderhåll</t>
  </si>
  <si>
    <t>Material för adm</t>
  </si>
  <si>
    <t>Inventarier för adm</t>
  </si>
  <si>
    <t>Telefon</t>
  </si>
  <si>
    <t>Avtal IT-teamet</t>
  </si>
  <si>
    <t>Strategiska IT-kostn</t>
  </si>
  <si>
    <t>Övr databehandl, service</t>
  </si>
  <si>
    <t>Marknadsföring</t>
  </si>
  <si>
    <t>Personal</t>
  </si>
  <si>
    <t>Personalutveckling</t>
  </si>
  <si>
    <t>Hyra</t>
  </si>
  <si>
    <t>Fastighet och lokaler</t>
  </si>
  <si>
    <t>Städning</t>
  </si>
  <si>
    <t>Fysisk arbetsmiljö</t>
  </si>
  <si>
    <t>Larm och bevakning</t>
  </si>
  <si>
    <t>Generella I/K</t>
  </si>
  <si>
    <t>Kto</t>
  </si>
  <si>
    <t>Obj</t>
  </si>
  <si>
    <t>Täckningsbidrag</t>
  </si>
  <si>
    <t>Entréer förskola</t>
  </si>
  <si>
    <t>Entréer grundskola</t>
  </si>
  <si>
    <t>Entréer gymnasieskola</t>
  </si>
  <si>
    <t>Lön kultursekreterare</t>
  </si>
  <si>
    <t>Kulturverksamhet</t>
  </si>
  <si>
    <t>Sexårskören-sponsring</t>
  </si>
  <si>
    <t>Proj</t>
  </si>
  <si>
    <t>Försäljning Nackaboken</t>
  </si>
  <si>
    <t>Utvärdering och uppföljning</t>
  </si>
  <si>
    <t>för Kultur Nacka</t>
  </si>
  <si>
    <t>Kultur gemensamt</t>
  </si>
  <si>
    <t>Skapande</t>
  </si>
  <si>
    <t>Museum och arkiv</t>
  </si>
  <si>
    <t>Skolgården i fokus - AMS</t>
  </si>
  <si>
    <t>Lön kulturassistent</t>
  </si>
  <si>
    <t>Verksamhet</t>
  </si>
  <si>
    <t>Reception - Piren</t>
  </si>
  <si>
    <t>Reception - företagarförening</t>
  </si>
  <si>
    <t>Reception - provision</t>
  </si>
  <si>
    <t>Konferens servering</t>
  </si>
  <si>
    <t>Konst</t>
  </si>
  <si>
    <t>Reception och konferens</t>
  </si>
  <si>
    <t>Lön receptionister</t>
  </si>
  <si>
    <t>Lön vikarier</t>
  </si>
  <si>
    <t>Vård av konst</t>
  </si>
  <si>
    <t>Beräkning av lönekostnader Kultur Nacka</t>
  </si>
  <si>
    <t>Namn</t>
  </si>
  <si>
    <t>Årslön</t>
  </si>
  <si>
    <t>PO-pålägg</t>
  </si>
  <si>
    <t>Totalt</t>
  </si>
  <si>
    <t>Kulturchef</t>
  </si>
  <si>
    <t>Cortina Lange</t>
  </si>
  <si>
    <t>Kulturassistent</t>
  </si>
  <si>
    <t>Eva Dalhov</t>
  </si>
  <si>
    <t>Kultursekreterare</t>
  </si>
  <si>
    <t>Camilla Luterkort</t>
  </si>
  <si>
    <t>Per Wetterblad</t>
  </si>
  <si>
    <t>Catharina Wikström</t>
  </si>
  <si>
    <t>Eva-Lena Bergström</t>
  </si>
  <si>
    <t>Info-assistent</t>
  </si>
  <si>
    <t>Teatertekniker</t>
  </si>
  <si>
    <t>Dan Engström</t>
  </si>
  <si>
    <t>Eva Wegnelius</t>
  </si>
  <si>
    <t>Mona Pettersson</t>
  </si>
  <si>
    <t>Mediapedagog</t>
  </si>
  <si>
    <t>Marja Seilola</t>
  </si>
  <si>
    <t>Inga Rising</t>
  </si>
  <si>
    <t>Bildpedagog</t>
  </si>
  <si>
    <t>Teaterpedagog</t>
  </si>
  <si>
    <t>Lena Hollsten</t>
  </si>
  <si>
    <t>Chatarina Olsén</t>
  </si>
  <si>
    <t>Teaterledare/café</t>
  </si>
  <si>
    <t>Museipedagog</t>
  </si>
  <si>
    <t>Musik-rörelse</t>
  </si>
  <si>
    <t>BKN-personal</t>
  </si>
  <si>
    <t>BKN-administration</t>
  </si>
  <si>
    <t>BKN-lokaler</t>
  </si>
  <si>
    <t>ORF</t>
  </si>
  <si>
    <t>Lokaluthyrning</t>
  </si>
  <si>
    <t>BKN-familjeprogram</t>
  </si>
  <si>
    <t>Skolbio-entréer grund</t>
  </si>
  <si>
    <t>Teaterhyllan-avgifter</t>
  </si>
  <si>
    <t>BKN-Teaterhyllan</t>
  </si>
  <si>
    <t>ON-Teaterhyllan</t>
  </si>
  <si>
    <t>BKN-sexårskören</t>
  </si>
  <si>
    <t>Lön kultursekr-skap (50%)</t>
  </si>
  <si>
    <t>Projektanställd, T-hyllan</t>
  </si>
  <si>
    <t>Lön kultursekr - arkiv o mus</t>
  </si>
  <si>
    <t>Projektanst museiped/guider</t>
  </si>
  <si>
    <t>Lön arkivassistent</t>
  </si>
  <si>
    <t>BKN-Kultur i vården</t>
  </si>
  <si>
    <t>BKN-Konsthallen</t>
  </si>
  <si>
    <t>BKN-Vård av konst</t>
  </si>
  <si>
    <t>BKN-löner</t>
  </si>
  <si>
    <t>Eurostar</t>
  </si>
  <si>
    <t>Lön informationsass</t>
  </si>
  <si>
    <t>Lön, kulturchef</t>
  </si>
  <si>
    <t>Bernt Sjögren</t>
  </si>
  <si>
    <t>Föreningsbidrag</t>
  </si>
  <si>
    <t>BKN- personal</t>
  </si>
  <si>
    <t>Entréer familjeprogram</t>
  </si>
  <si>
    <t>ON/Si (Nyckelviken)</t>
  </si>
  <si>
    <t>Summa</t>
  </si>
  <si>
    <t>lön</t>
  </si>
  <si>
    <t>Kulturupplevelser</t>
  </si>
  <si>
    <t>Musikpedagog</t>
  </si>
  <si>
    <t>Skapande - övrigt</t>
  </si>
  <si>
    <t>Arkiv och museum</t>
  </si>
  <si>
    <t>Rec och konferens</t>
  </si>
  <si>
    <t>Receptionist</t>
  </si>
  <si>
    <t>Barn- o ungd sekr</t>
  </si>
  <si>
    <t>Tarja Silvola-E</t>
  </si>
  <si>
    <t>Lön 00</t>
  </si>
  <si>
    <t>Sem</t>
  </si>
  <si>
    <t>Lön konstsekr 0,9</t>
  </si>
  <si>
    <t>Lön kultursekreterare 0,1</t>
  </si>
  <si>
    <t>Skadegörelse/inbrott</t>
  </si>
  <si>
    <t>Företagshälsovård</t>
  </si>
  <si>
    <t>Personalförm/friskvård</t>
  </si>
  <si>
    <t>Rehab</t>
  </si>
  <si>
    <t>Lön</t>
  </si>
  <si>
    <t>Kultursekr</t>
  </si>
  <si>
    <t>Arkivsekr</t>
  </si>
  <si>
    <t>Arkivass</t>
  </si>
  <si>
    <t>Förd</t>
  </si>
  <si>
    <t>Övriga kostnader</t>
  </si>
  <si>
    <t>BKN-övrigt</t>
  </si>
  <si>
    <t>BKN-lokal</t>
  </si>
  <si>
    <t>kultur i vården</t>
  </si>
  <si>
    <t>Arkivet</t>
  </si>
  <si>
    <t>Nackaboken</t>
  </si>
  <si>
    <t>Website/Nacka genom tid…</t>
  </si>
  <si>
    <t>Museet</t>
  </si>
  <si>
    <t>Databehandling</t>
  </si>
  <si>
    <t>Material mm</t>
  </si>
  <si>
    <t>Konferensservering</t>
  </si>
  <si>
    <t>BKN-receptionslöner</t>
  </si>
  <si>
    <t>BkN-receptionen</t>
  </si>
  <si>
    <t>Kultur i förskolan</t>
  </si>
  <si>
    <t>Kultur i skolan</t>
  </si>
  <si>
    <t>Kultur i gymnasiet</t>
  </si>
  <si>
    <t>Familjeprogram</t>
  </si>
  <si>
    <t>Skolbio-grundskolan</t>
  </si>
  <si>
    <t>Projektmedel</t>
  </si>
  <si>
    <t>BKN-kulturupp/gymn</t>
  </si>
  <si>
    <t>BKN- kulturupp/grundsk</t>
  </si>
  <si>
    <t>BKN-kulturupp/förskola</t>
  </si>
  <si>
    <t>BKN-projektmedel</t>
  </si>
  <si>
    <t>SoN Flyktingprojekt/språk</t>
  </si>
  <si>
    <t>Flyktingprojekt</t>
  </si>
  <si>
    <t>Material till Hyllan</t>
  </si>
  <si>
    <t>Seminarieförtäring</t>
  </si>
  <si>
    <t>Teaterped Hyllan</t>
  </si>
  <si>
    <t>Städning Hyllan</t>
  </si>
  <si>
    <t>BKN-personal fsk &amp; sk</t>
  </si>
  <si>
    <t>BKN-personal Hyllan</t>
  </si>
  <si>
    <t>BKN-marknadsföring</t>
  </si>
  <si>
    <t>Föreningar-del i PR</t>
  </si>
  <si>
    <t>BKN-generella I/K</t>
  </si>
  <si>
    <t>Hyra Hyllan</t>
  </si>
  <si>
    <t>Guide</t>
  </si>
  <si>
    <t>Vikkostnad</t>
  </si>
  <si>
    <t>Omf</t>
  </si>
  <si>
    <t>Fotografiska arbeten mm</t>
  </si>
  <si>
    <t>Bild/media</t>
  </si>
  <si>
    <t>Teater mm</t>
  </si>
  <si>
    <t>BKN-konstregister</t>
  </si>
  <si>
    <t>Animation på fritiden-avg</t>
  </si>
  <si>
    <t>Projektanställd,animation</t>
  </si>
  <si>
    <t>Animation</t>
  </si>
  <si>
    <t>Material animation - fritid</t>
  </si>
  <si>
    <t>Lön teaterped(74%) fsk&amp;sk</t>
  </si>
  <si>
    <t>Lön musikped(50%) fsk&amp;sk</t>
  </si>
  <si>
    <t>Lön bildped(75%) fsk&amp;sk</t>
  </si>
  <si>
    <t>Lön mediaped(75%) fsk&amp;sk</t>
  </si>
  <si>
    <t>Projektanst, mus/rör fsk&amp;sk</t>
  </si>
  <si>
    <t>Proj anst,museiped fsk&amp;sk</t>
  </si>
  <si>
    <t>Proj anst,bild/media fsk&amp;sk</t>
  </si>
  <si>
    <t>Proj anst teater/mm fsk&amp;sk</t>
  </si>
  <si>
    <t>Skapande - Fritid</t>
  </si>
  <si>
    <t>Proj anst utställning fsk&amp;sk</t>
  </si>
  <si>
    <t>Utställning</t>
  </si>
  <si>
    <t>Liisa Hutchings</t>
  </si>
  <si>
    <t>Marknadsföringsbidrag</t>
  </si>
  <si>
    <t>BKN-projektpers fsk &amp; sk</t>
  </si>
  <si>
    <t>Skapande verksamhet</t>
  </si>
  <si>
    <t>Personal- bild &amp; media</t>
  </si>
  <si>
    <t>Personal - fsk &amp; skola</t>
  </si>
  <si>
    <t>Personal - Hyllan</t>
  </si>
  <si>
    <t>Förskola och skola</t>
  </si>
  <si>
    <t>Hyllan</t>
  </si>
  <si>
    <t>Sexårskören</t>
  </si>
  <si>
    <t>BKN-projektpers Hyllan</t>
  </si>
  <si>
    <t>Bild och media</t>
  </si>
  <si>
    <t>Kulturvht - skapande</t>
  </si>
  <si>
    <t>Kulturvht - fsk &amp; skola</t>
  </si>
  <si>
    <t>Kulturvht - Hyllan</t>
  </si>
  <si>
    <t>Kulturvht - sexårskören</t>
  </si>
  <si>
    <t>Kulturvht - bild &amp; media</t>
  </si>
  <si>
    <t>Sexårskören 2000</t>
  </si>
  <si>
    <t>BKN - Nackaboken</t>
  </si>
  <si>
    <t>BKN - personal</t>
  </si>
  <si>
    <t>BKN - web/Nacka gm tid..</t>
  </si>
  <si>
    <t>Lön konstregistret</t>
  </si>
  <si>
    <t>Fördelning av gemensamma kostnader</t>
  </si>
  <si>
    <t>Ram</t>
  </si>
  <si>
    <t>% andel</t>
  </si>
  <si>
    <t>Kultur gemensamt totalt</t>
  </si>
  <si>
    <t>Kultur gemensamt exkl lokaler o dyl</t>
  </si>
  <si>
    <t>Tkr</t>
  </si>
  <si>
    <t>Andel av totalen</t>
  </si>
  <si>
    <t>Budgetram</t>
  </si>
  <si>
    <t>Förd gem</t>
  </si>
  <si>
    <t>Kultur gemensamt (lokaler, m-f etc)</t>
  </si>
  <si>
    <t>Enhet</t>
  </si>
  <si>
    <t>Kostnader</t>
  </si>
  <si>
    <t>Intäkter BKN</t>
  </si>
  <si>
    <t>Resultat 1</t>
  </si>
  <si>
    <t>Årsresultat</t>
  </si>
  <si>
    <t>Ingående kapital</t>
  </si>
  <si>
    <t>Avsättning fonder/EK</t>
  </si>
  <si>
    <t>Utgående kapital</t>
  </si>
  <si>
    <t>Kultursekr barn och ungdom</t>
  </si>
  <si>
    <t>Kultursekr förskola o skap fritid</t>
  </si>
  <si>
    <t>Konstsekreterare</t>
  </si>
  <si>
    <t>Informationsansvarig</t>
  </si>
  <si>
    <t>Receptionsansvarig</t>
  </si>
  <si>
    <t>Kultursekreterare arkiv o museum</t>
  </si>
  <si>
    <t>Budget för Kultur Nacka år 2000</t>
  </si>
  <si>
    <t>Disposition/avs invest fond</t>
  </si>
  <si>
    <t>Intäkter övr</t>
  </si>
  <si>
    <t>Avsatt till investeringsfond</t>
  </si>
  <si>
    <t>Månadslön</t>
  </si>
  <si>
    <t>Semesterers</t>
  </si>
  <si>
    <t>Årskostnad</t>
  </si>
  <si>
    <t>Ryggsäck</t>
  </si>
  <si>
    <t>Data, avtal</t>
  </si>
  <si>
    <t>Ekonomiadministration</t>
  </si>
  <si>
    <t>Vaktmästeri</t>
  </si>
  <si>
    <t>Utvecklingskostnader</t>
  </si>
  <si>
    <t>Avsättning till ORF</t>
  </si>
  <si>
    <t>Personalsoc kostnader</t>
  </si>
  <si>
    <t>IT-system</t>
  </si>
  <si>
    <t>Lönekostnad</t>
  </si>
  <si>
    <t>Debiterbar tid 65%</t>
  </si>
  <si>
    <t>Debiterbar tid 80%</t>
  </si>
  <si>
    <t>Timpriser 2000</t>
  </si>
  <si>
    <t>Kronor</t>
  </si>
  <si>
    <t>65% debiterbar tid</t>
  </si>
  <si>
    <t>80% debiterbar tid</t>
  </si>
  <si>
    <t>Arbetstid (10,5 mån x 165 h/mån)</t>
  </si>
  <si>
    <t>Månadskostnad</t>
  </si>
  <si>
    <t>Summa gemensamma kostnader</t>
  </si>
  <si>
    <t>Gemensam administration</t>
  </si>
  <si>
    <t>Rehab/företagshälsovård</t>
  </si>
  <si>
    <t>Kontorsmaterial inkl tidningar</t>
  </si>
  <si>
    <t>Lokal, 12,5 kvm</t>
  </si>
  <si>
    <t>OH-verksamhetschef</t>
  </si>
  <si>
    <t>Kulturchef inkl verksamhetsutv</t>
  </si>
  <si>
    <t>Enkel övertid</t>
  </si>
  <si>
    <t>Kvalificerad övertid</t>
  </si>
  <si>
    <t>Fyllnadstid</t>
  </si>
  <si>
    <t>OH-kostnad per timme (80%)</t>
  </si>
  <si>
    <t>Ersättning till heltidsanställda som gör uppdrag utöver ordinarie tjänst ersätts med övertidsersättning.</t>
  </si>
  <si>
    <t>BUDGET   2001</t>
  </si>
  <si>
    <t>Erik J</t>
  </si>
  <si>
    <t>Ingela+pub</t>
  </si>
  <si>
    <t>Maja</t>
  </si>
  <si>
    <t>Konstass proj</t>
  </si>
  <si>
    <t>Lars J</t>
  </si>
  <si>
    <t>Lön teaterassistent</t>
  </si>
  <si>
    <t>Fackligt arbete</t>
  </si>
  <si>
    <t>Annonsering</t>
  </si>
  <si>
    <r>
      <t xml:space="preserve">Trycksaker </t>
    </r>
    <r>
      <rPr>
        <sz val="9"/>
        <rFont val="Arial"/>
        <family val="2"/>
      </rPr>
      <t>(internt tryck)</t>
    </r>
  </si>
  <si>
    <r>
      <t xml:space="preserve">Trycksaker </t>
    </r>
    <r>
      <rPr>
        <sz val="9"/>
        <rFont val="Arial"/>
        <family val="2"/>
      </rPr>
      <t>(externt tryck)</t>
    </r>
  </si>
  <si>
    <t>Information skap fritid</t>
  </si>
  <si>
    <t>Föreningarnas del i Pr-mat</t>
  </si>
  <si>
    <t>FAK 1 % - ärenden</t>
  </si>
  <si>
    <r>
      <t>Sexårskören-</t>
    </r>
    <r>
      <rPr>
        <sz val="9"/>
        <rFont val="Arial"/>
        <family val="2"/>
      </rPr>
      <t>avgifter/entreer</t>
    </r>
  </si>
  <si>
    <t>Konstverksamhet</t>
  </si>
  <si>
    <t>Lön uppdragstagare 1 %</t>
  </si>
  <si>
    <t>Neglinge 1 %/material</t>
  </si>
  <si>
    <t>BKN - arkivet</t>
  </si>
  <si>
    <t>Skolbio- fortbildning</t>
  </si>
  <si>
    <t>Kulturombudsdag</t>
  </si>
  <si>
    <t>BKN-kulturombudsdagen</t>
  </si>
  <si>
    <t>BKN-festivalarr</t>
  </si>
  <si>
    <t>Festivalarr</t>
  </si>
  <si>
    <t>Sylvia Carlman</t>
  </si>
  <si>
    <t>Teaterfestival</t>
  </si>
  <si>
    <t>Teaterfestivalen entreer</t>
  </si>
  <si>
    <t>Lön teaterped (176%)</t>
  </si>
  <si>
    <t>Vikariekostnader</t>
  </si>
  <si>
    <t>Lön Publikarbete</t>
  </si>
  <si>
    <t>Uppdragsverksamhet</t>
  </si>
  <si>
    <t>Uppdragasverksamhet</t>
  </si>
  <si>
    <t>Uppdrasverksamhet</t>
  </si>
  <si>
    <t>Ingående balans</t>
  </si>
  <si>
    <t>Kulturstipendium</t>
  </si>
  <si>
    <t>Kapitalkostn, inköpt 2000</t>
  </si>
  <si>
    <t>Kapitalkostn, inköpt 2001</t>
  </si>
  <si>
    <t>Mediautredningen</t>
  </si>
  <si>
    <t>Neglinge 1% ärende</t>
  </si>
  <si>
    <t>Konstregistret</t>
  </si>
  <si>
    <t>Skapande kulturprojekt</t>
  </si>
  <si>
    <t>Läraravtalet</t>
  </si>
  <si>
    <t>Teaterhyllan lov- + teaterverksamhet</t>
  </si>
  <si>
    <t>Kompetensutveckling</t>
  </si>
  <si>
    <t>Kulturprojekt ospec</t>
  </si>
  <si>
    <t>Eget kapital</t>
  </si>
  <si>
    <t>Läraravtalet 2000</t>
  </si>
  <si>
    <t>Mediautredning</t>
  </si>
  <si>
    <t>Skolbio fortbildning</t>
  </si>
  <si>
    <t>Musik-skapande fsk&amp;sk</t>
  </si>
  <si>
    <t>Teater-skapande fsk&amp;sk</t>
  </si>
  <si>
    <t>Hembygd-skapande fsk&amp;sk</t>
  </si>
  <si>
    <t>Bildkonst-skapande fsk&amp;sk</t>
  </si>
  <si>
    <t>Media-skapande fsk&amp;sk</t>
  </si>
  <si>
    <t>Material musik-skap fsk&amp;sk</t>
  </si>
  <si>
    <t>Material teater-skap fsk&amp;sk</t>
  </si>
  <si>
    <t>Material hemb-skap fsk&amp;sk</t>
  </si>
  <si>
    <t>Material bildk-skap fsk&amp;sk</t>
  </si>
  <si>
    <t>Material media-skap fsk&amp;sk</t>
  </si>
  <si>
    <t>Lovverksamhet musik/teater</t>
  </si>
  <si>
    <t>Lovverksamhet bild/media</t>
  </si>
  <si>
    <t>Lovverks musik och teater</t>
  </si>
  <si>
    <t>Lovverks bild och media</t>
  </si>
  <si>
    <t>Teaterverksamhet</t>
  </si>
  <si>
    <t>Fysåret-individuell friskvård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</si>
</sst>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0\ _k_r_-;\-* #,##0.000\ _k_r_-;_-* &quot;-&quot;??\ _k_r_-;_-@_-"/>
    <numFmt numFmtId="165" formatCode="_-* #,##0.0\ _k_r_-;\-* #,##0.0\ _k_r_-;_-* &quot;-&quot;??\ _k_r_-;_-@_-"/>
    <numFmt numFmtId="166" formatCode="_-* #,##0\ _k_r_-;\-* #,##0\ _k_r_-;_-* &quot;-&quot;??\ _k_r_-;_-@_-"/>
    <numFmt numFmtId="167" formatCode="#,##0;&quot;-&quot;#,##0"/>
    <numFmt numFmtId="168" formatCode="#,##0;[Red]&quot;-&quot;#,##0"/>
    <numFmt numFmtId="169" formatCode="#,##0.00;&quot;-&quot;#,##0.00"/>
    <numFmt numFmtId="170" formatCode="#,##0.00;[Red]&quot;-&quot;#,##0.00"/>
    <numFmt numFmtId="171" formatCode="0.0%"/>
    <numFmt numFmtId="172" formatCode="0.000%"/>
    <numFmt numFmtId="173" formatCode="0;0;"/>
    <numFmt numFmtId="174" formatCode="0.0"/>
    <numFmt numFmtId="175" formatCode="#,##0.0"/>
    <numFmt numFmtId="176" formatCode="#,##0.000"/>
    <numFmt numFmtId="177" formatCode="#,##0.0000"/>
    <numFmt numFmtId="178" formatCode="0.0000%"/>
    <numFmt numFmtId="179" formatCode="000\ 00"/>
    <numFmt numFmtId="180" formatCode="#,##0\ &quot;kr&quot;"/>
    <numFmt numFmtId="181" formatCode="#,##0.0;[Red]&quot;-&quot;#,##0.0"/>
    <numFmt numFmtId="182" formatCode="#,##0.000;[Red]&quot;-&quot;#,##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0"/>
    </font>
    <font>
      <sz val="12"/>
      <name val="Times New Roman"/>
      <family val="1"/>
    </font>
    <font>
      <sz val="10"/>
      <name val="MS Sans Serif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9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>
      <alignment/>
      <protection/>
    </xf>
    <xf numFmtId="0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" fontId="8" fillId="0" borderId="0" xfId="18" applyNumberFormat="1">
      <alignment/>
      <protection/>
    </xf>
    <xf numFmtId="3" fontId="10" fillId="0" borderId="0" xfId="18" applyNumberFormat="1" applyFont="1" applyAlignment="1" quotePrefix="1">
      <alignment horizontal="left"/>
      <protection/>
    </xf>
    <xf numFmtId="3" fontId="11" fillId="0" borderId="0" xfId="18" applyNumberFormat="1" applyFont="1">
      <alignment/>
      <protection/>
    </xf>
    <xf numFmtId="3" fontId="10" fillId="0" borderId="0" xfId="18" applyNumberFormat="1" applyFont="1" applyAlignment="1" applyProtection="1">
      <alignment horizontal="left"/>
      <protection locked="0"/>
    </xf>
    <xf numFmtId="3" fontId="8" fillId="0" borderId="0" xfId="18" applyNumberFormat="1" applyBorder="1">
      <alignment/>
      <protection/>
    </xf>
    <xf numFmtId="3" fontId="4" fillId="0" borderId="0" xfId="18" applyNumberFormat="1" applyFont="1">
      <alignment/>
      <protection/>
    </xf>
    <xf numFmtId="3" fontId="4" fillId="0" borderId="0" xfId="18" applyNumberFormat="1" applyFont="1" applyAlignment="1">
      <alignment horizontal="right"/>
      <protection/>
    </xf>
    <xf numFmtId="3" fontId="4" fillId="0" borderId="0" xfId="18" applyNumberFormat="1" applyFont="1" applyBorder="1">
      <alignment/>
      <protection/>
    </xf>
    <xf numFmtId="3" fontId="8" fillId="0" borderId="1" xfId="18" applyNumberFormat="1" applyBorder="1">
      <alignment/>
      <protection/>
    </xf>
    <xf numFmtId="3" fontId="8" fillId="0" borderId="1" xfId="18" applyBorder="1">
      <alignment/>
      <protection/>
    </xf>
    <xf numFmtId="3" fontId="8" fillId="0" borderId="1" xfId="18" applyNumberFormat="1" applyBorder="1" applyProtection="1">
      <alignment/>
      <protection locked="0"/>
    </xf>
    <xf numFmtId="3" fontId="8" fillId="0" borderId="1" xfId="18" applyBorder="1" applyProtection="1">
      <alignment/>
      <protection locked="0"/>
    </xf>
    <xf numFmtId="3" fontId="4" fillId="0" borderId="1" xfId="18" applyNumberFormat="1" applyFont="1" applyBorder="1">
      <alignment/>
      <protection/>
    </xf>
    <xf numFmtId="3" fontId="8" fillId="0" borderId="1" xfId="18" applyNumberFormat="1" applyFont="1" applyBorder="1">
      <alignment/>
      <protection/>
    </xf>
    <xf numFmtId="3" fontId="8" fillId="0" borderId="1" xfId="18" applyFont="1" applyBorder="1">
      <alignment/>
      <protection/>
    </xf>
    <xf numFmtId="0" fontId="0" fillId="0" borderId="1" xfId="0" applyBorder="1" applyAlignment="1" applyProtection="1">
      <alignment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3" fontId="2" fillId="0" borderId="0" xfId="2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3" fontId="10" fillId="0" borderId="0" xfId="18" applyNumberFormat="1" applyFont="1" applyAlignment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1" fillId="4" borderId="2" xfId="0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4" borderId="3" xfId="0" applyNumberFormat="1" applyFont="1" applyFill="1" applyBorder="1" applyAlignment="1" applyProtection="1">
      <alignment/>
      <protection/>
    </xf>
    <xf numFmtId="3" fontId="1" fillId="4" borderId="1" xfId="0" applyNumberFormat="1" applyFont="1" applyFill="1" applyBorder="1" applyAlignment="1" applyProtection="1">
      <alignment horizontal="right"/>
      <protection/>
    </xf>
    <xf numFmtId="3" fontId="6" fillId="4" borderId="1" xfId="20" applyNumberFormat="1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/>
      <protection/>
    </xf>
    <xf numFmtId="3" fontId="6" fillId="4" borderId="3" xfId="2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3" fontId="12" fillId="0" borderId="0" xfId="16" applyNumberFormat="1" applyFont="1">
      <alignment/>
      <protection/>
    </xf>
    <xf numFmtId="3" fontId="8" fillId="0" borderId="0" xfId="16" applyNumberFormat="1">
      <alignment/>
      <protection/>
    </xf>
    <xf numFmtId="3" fontId="13" fillId="0" borderId="0" xfId="16" applyNumberFormat="1" applyFont="1">
      <alignment/>
      <protection/>
    </xf>
    <xf numFmtId="3" fontId="14" fillId="4" borderId="1" xfId="16" applyNumberFormat="1" applyFont="1" applyFill="1" applyBorder="1">
      <alignment/>
      <protection/>
    </xf>
    <xf numFmtId="3" fontId="15" fillId="0" borderId="0" xfId="16" applyNumberFormat="1" applyFont="1" applyBorder="1">
      <alignment/>
      <protection/>
    </xf>
    <xf numFmtId="3" fontId="14" fillId="0" borderId="0" xfId="16" applyNumberFormat="1" applyFont="1">
      <alignment/>
      <protection/>
    </xf>
    <xf numFmtId="3" fontId="15" fillId="0" borderId="0" xfId="16" applyNumberFormat="1" applyFont="1">
      <alignment/>
      <protection/>
    </xf>
    <xf numFmtId="3" fontId="15" fillId="0" borderId="1" xfId="16" applyNumberFormat="1" applyFont="1" applyBorder="1">
      <alignment/>
      <protection/>
    </xf>
    <xf numFmtId="3" fontId="8" fillId="0" borderId="0" xfId="16" applyNumberFormat="1" applyFont="1">
      <alignment/>
      <protection/>
    </xf>
    <xf numFmtId="3" fontId="15" fillId="0" borderId="4" xfId="16" applyNumberFormat="1" applyFont="1" applyBorder="1">
      <alignment/>
      <protection/>
    </xf>
    <xf numFmtId="0" fontId="0" fillId="0" borderId="1" xfId="0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right"/>
      <protection locked="0"/>
    </xf>
    <xf numFmtId="10" fontId="0" fillId="0" borderId="1" xfId="0" applyNumberFormat="1" applyBorder="1" applyAlignment="1" applyProtection="1">
      <alignment/>
      <protection/>
    </xf>
    <xf numFmtId="10" fontId="8" fillId="0" borderId="0" xfId="19" applyNumberFormat="1" applyAlignment="1">
      <alignment/>
    </xf>
    <xf numFmtId="4" fontId="8" fillId="0" borderId="0" xfId="16" applyNumberFormat="1">
      <alignment/>
      <protection/>
    </xf>
    <xf numFmtId="4" fontId="15" fillId="0" borderId="1" xfId="16" applyNumberFormat="1" applyFont="1" applyBorder="1">
      <alignment/>
      <protection/>
    </xf>
    <xf numFmtId="4" fontId="15" fillId="0" borderId="0" xfId="16" applyNumberFormat="1" applyFont="1">
      <alignment/>
      <protection/>
    </xf>
    <xf numFmtId="10" fontId="14" fillId="4" borderId="5" xfId="19" applyNumberFormat="1" applyFont="1" applyFill="1" applyBorder="1" applyAlignment="1">
      <alignment horizontal="center"/>
    </xf>
    <xf numFmtId="3" fontId="14" fillId="4" borderId="5" xfId="16" applyNumberFormat="1" applyFont="1" applyFill="1" applyBorder="1" applyAlignment="1">
      <alignment horizontal="center"/>
      <protection/>
    </xf>
    <xf numFmtId="4" fontId="14" fillId="4" borderId="5" xfId="19" applyNumberFormat="1" applyFont="1" applyFill="1" applyBorder="1" applyAlignment="1">
      <alignment horizontal="center"/>
    </xf>
    <xf numFmtId="3" fontId="0" fillId="0" borderId="1" xfId="0" applyNumberFormat="1" applyFill="1" applyBorder="1" applyAlignment="1" applyProtection="1">
      <alignment horizontal="right"/>
      <protection locked="0"/>
    </xf>
    <xf numFmtId="3" fontId="14" fillId="4" borderId="1" xfId="16" applyNumberFormat="1" applyFont="1" applyFill="1" applyBorder="1" applyAlignment="1">
      <alignment horizontal="center"/>
      <protection/>
    </xf>
    <xf numFmtId="4" fontId="14" fillId="4" borderId="1" xfId="16" applyNumberFormat="1" applyFont="1" applyFill="1" applyBorder="1" applyAlignment="1">
      <alignment horizontal="center"/>
      <protection/>
    </xf>
    <xf numFmtId="3" fontId="16" fillId="0" borderId="0" xfId="16" applyNumberFormat="1" applyFont="1" applyBorder="1">
      <alignment/>
      <protection/>
    </xf>
    <xf numFmtId="3" fontId="17" fillId="0" borderId="0" xfId="16" applyNumberFormat="1" applyFont="1" applyBorder="1">
      <alignment/>
      <protection/>
    </xf>
    <xf numFmtId="3" fontId="16" fillId="0" borderId="1" xfId="16" applyNumberFormat="1" applyFont="1" applyBorder="1">
      <alignment/>
      <protection/>
    </xf>
    <xf numFmtId="3" fontId="17" fillId="0" borderId="0" xfId="16" applyNumberFormat="1" applyFont="1">
      <alignment/>
      <protection/>
    </xf>
    <xf numFmtId="3" fontId="16" fillId="4" borderId="1" xfId="16" applyNumberFormat="1" applyFont="1" applyFill="1" applyBorder="1">
      <alignment/>
      <protection/>
    </xf>
    <xf numFmtId="3" fontId="19" fillId="0" borderId="1" xfId="16" applyNumberFormat="1" applyFont="1" applyBorder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6" fillId="4" borderId="6" xfId="0" applyFont="1" applyFill="1" applyBorder="1" applyAlignment="1" applyProtection="1">
      <alignment/>
      <protection/>
    </xf>
    <xf numFmtId="3" fontId="6" fillId="4" borderId="6" xfId="20" applyNumberFormat="1" applyFont="1" applyFill="1" applyBorder="1" applyAlignment="1" applyProtection="1">
      <alignment/>
      <protection/>
    </xf>
    <xf numFmtId="9" fontId="14" fillId="4" borderId="1" xfId="19" applyFont="1" applyFill="1" applyBorder="1" applyAlignment="1">
      <alignment horizontal="center"/>
    </xf>
    <xf numFmtId="3" fontId="4" fillId="0" borderId="0" xfId="18" applyNumberFormat="1" applyFont="1" applyFill="1">
      <alignment/>
      <protection/>
    </xf>
    <xf numFmtId="3" fontId="4" fillId="0" borderId="0" xfId="18" applyNumberFormat="1" applyFont="1" applyFill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/>
    </xf>
    <xf numFmtId="3" fontId="17" fillId="0" borderId="1" xfId="16" applyNumberFormat="1" applyFont="1" applyBorder="1">
      <alignment/>
      <protection/>
    </xf>
    <xf numFmtId="4" fontId="15" fillId="0" borderId="0" xfId="16" applyNumberFormat="1" applyFont="1">
      <alignment/>
      <protection/>
    </xf>
    <xf numFmtId="4" fontId="14" fillId="0" borderId="0" xfId="16" applyNumberFormat="1" applyFont="1">
      <alignment/>
      <protection/>
    </xf>
    <xf numFmtId="3" fontId="0" fillId="0" borderId="1" xfId="0" applyNumberFormat="1" applyFill="1" applyBorder="1" applyAlignment="1" applyProtection="1">
      <alignment/>
      <protection/>
    </xf>
    <xf numFmtId="4" fontId="17" fillId="0" borderId="1" xfId="16" applyNumberFormat="1" applyFont="1" applyBorder="1">
      <alignment/>
      <protection/>
    </xf>
    <xf numFmtId="4" fontId="20" fillId="0" borderId="1" xfId="16" applyNumberFormat="1" applyFont="1" applyBorder="1">
      <alignment/>
      <protection/>
    </xf>
    <xf numFmtId="3" fontId="18" fillId="0" borderId="1" xfId="16" applyNumberFormat="1" applyFont="1" applyBorder="1">
      <alignment/>
      <protection/>
    </xf>
    <xf numFmtId="0" fontId="5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" fontId="15" fillId="0" borderId="7" xfId="16" applyNumberFormat="1" applyFont="1" applyBorder="1">
      <alignment/>
      <protection/>
    </xf>
    <xf numFmtId="3" fontId="17" fillId="0" borderId="8" xfId="16" applyNumberFormat="1" applyFont="1" applyBorder="1">
      <alignment/>
      <protection/>
    </xf>
    <xf numFmtId="3" fontId="15" fillId="0" borderId="9" xfId="16" applyNumberFormat="1" applyFont="1" applyBorder="1">
      <alignment/>
      <protection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19" applyNumberFormat="1" applyAlignment="1">
      <alignment/>
    </xf>
    <xf numFmtId="3" fontId="1" fillId="0" borderId="0" xfId="0" applyNumberFormat="1" applyFont="1" applyAlignment="1">
      <alignment/>
    </xf>
    <xf numFmtId="171" fontId="1" fillId="0" borderId="0" xfId="19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19" applyNumberFormat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 wrapText="1"/>
    </xf>
    <xf numFmtId="0" fontId="12" fillId="0" borderId="0" xfId="16" applyFont="1">
      <alignment/>
      <protection/>
    </xf>
    <xf numFmtId="0" fontId="15" fillId="0" borderId="0" xfId="16" applyFont="1">
      <alignment/>
      <protection/>
    </xf>
    <xf numFmtId="0" fontId="14" fillId="4" borderId="0" xfId="16" applyFont="1" applyFill="1" applyAlignment="1">
      <alignment wrapText="1"/>
      <protection/>
    </xf>
    <xf numFmtId="0" fontId="14" fillId="4" borderId="0" xfId="16" applyFont="1" applyFill="1" applyAlignment="1">
      <alignment horizontal="right" wrapText="1"/>
      <protection/>
    </xf>
    <xf numFmtId="0" fontId="15" fillId="0" borderId="0" xfId="16" applyFont="1" applyAlignment="1">
      <alignment wrapText="1"/>
      <protection/>
    </xf>
    <xf numFmtId="0" fontId="21" fillId="4" borderId="0" xfId="16" applyFont="1" applyFill="1">
      <alignment/>
      <protection/>
    </xf>
    <xf numFmtId="3" fontId="21" fillId="4" borderId="0" xfId="16" applyNumberFormat="1" applyFont="1" applyFill="1">
      <alignment/>
      <protection/>
    </xf>
    <xf numFmtId="0" fontId="6" fillId="5" borderId="1" xfId="0" applyFont="1" applyFill="1" applyBorder="1" applyAlignment="1" applyProtection="1">
      <alignment/>
      <protection locked="0"/>
    </xf>
    <xf numFmtId="3" fontId="6" fillId="5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0" fontId="15" fillId="0" borderId="0" xfId="19" applyNumberFormat="1" applyFont="1" applyAlignment="1">
      <alignment/>
    </xf>
    <xf numFmtId="3" fontId="20" fillId="0" borderId="0" xfId="0" applyNumberFormat="1" applyFont="1" applyAlignment="1">
      <alignment/>
    </xf>
    <xf numFmtId="3" fontId="14" fillId="4" borderId="0" xfId="0" applyNumberFormat="1" applyFont="1" applyFill="1" applyAlignment="1">
      <alignment horizontal="right"/>
    </xf>
    <xf numFmtId="10" fontId="14" fillId="4" borderId="0" xfId="19" applyNumberFormat="1" applyFont="1" applyFill="1" applyAlignment="1">
      <alignment horizontal="right"/>
    </xf>
    <xf numFmtId="3" fontId="14" fillId="4" borderId="0" xfId="0" applyNumberFormat="1" applyFont="1" applyFill="1" applyAlignment="1">
      <alignment horizontal="center"/>
    </xf>
    <xf numFmtId="9" fontId="15" fillId="0" borderId="0" xfId="19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 locked="0"/>
    </xf>
    <xf numFmtId="3" fontId="1" fillId="4" borderId="2" xfId="0" applyNumberFormat="1" applyFont="1" applyFill="1" applyBorder="1" applyAlignment="1" applyProtection="1">
      <alignment horizontal="right"/>
      <protection/>
    </xf>
    <xf numFmtId="179" fontId="0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3" fontId="0" fillId="6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/>
      <protection/>
    </xf>
    <xf numFmtId="3" fontId="1" fillId="3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6" borderId="1" xfId="0" applyFont="1" applyFill="1" applyBorder="1" applyAlignment="1" applyProtection="1">
      <alignment/>
      <protection locked="0"/>
    </xf>
    <xf numFmtId="3" fontId="0" fillId="6" borderId="1" xfId="0" applyNumberFormat="1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0" xfId="0" applyFont="1" applyFill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 horizontal="right"/>
      <protection/>
    </xf>
    <xf numFmtId="3" fontId="8" fillId="0" borderId="1" xfId="18" applyNumberFormat="1" applyFont="1" applyBorder="1" quotePrefix="1">
      <alignment/>
      <protection/>
    </xf>
    <xf numFmtId="3" fontId="8" fillId="0" borderId="1" xfId="18" applyNumberFormat="1" applyFont="1" applyFill="1" applyBorder="1">
      <alignment/>
      <protection/>
    </xf>
    <xf numFmtId="3" fontId="8" fillId="0" borderId="1" xfId="18" applyNumberFormat="1" applyFill="1" applyBorder="1">
      <alignment/>
      <protection/>
    </xf>
    <xf numFmtId="3" fontId="8" fillId="0" borderId="1" xfId="18" applyNumberFormat="1" applyFill="1" applyBorder="1" applyProtection="1">
      <alignment/>
      <protection locked="0"/>
    </xf>
  </cellXfs>
  <cellStyles count="22">
    <cellStyle name="Normal" xfId="0"/>
    <cellStyle name="Normal_Bilaga 2 (2)" xfId="15"/>
    <cellStyle name="Normal_Budget00" xfId="16"/>
    <cellStyle name="Normal_Budgetmall2000" xfId="17"/>
    <cellStyle name="Normal_Sammanst" xfId="18"/>
    <cellStyle name="Percent" xfId="19"/>
    <cellStyle name="Comma" xfId="20"/>
    <cellStyle name="Comma [0]" xfId="21"/>
    <cellStyle name="Tusental (0)_Bilaga 2 (2)" xfId="22"/>
    <cellStyle name="Tusental (0)_Budgetmall2000" xfId="23"/>
    <cellStyle name="Tusental (0)_Sammanst" xfId="24"/>
    <cellStyle name="Tusental_Bilaga 2 (2)" xfId="25"/>
    <cellStyle name="Tusental_Budgetmall2000" xfId="26"/>
    <cellStyle name="Tusental_Sammanst" xfId="27"/>
    <cellStyle name="Currency" xfId="28"/>
    <cellStyle name="Currency [0]" xfId="29"/>
    <cellStyle name="Valuta (0)_Bilaga 2 (2)" xfId="30"/>
    <cellStyle name="Valuta (0)_Budgetmall2000" xfId="31"/>
    <cellStyle name="Valuta (0)_Sammanst" xfId="32"/>
    <cellStyle name="Valuta_Bilaga 2 (2)" xfId="33"/>
    <cellStyle name="Valuta_Budgetmall2000" xfId="34"/>
    <cellStyle name="Valuta_Sammans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66725" y="7448550"/>
          <a:ext cx="29051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ALLG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manst"/>
      <sheetName val="Bilaga 2a"/>
    </sheetNames>
    <definedNames>
      <definedName name="Personbaserat"/>
      <definedName name="Schabl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7" sqref="D17"/>
    </sheetView>
  </sheetViews>
  <sheetFormatPr defaultColWidth="9.140625" defaultRowHeight="12.75"/>
  <cols>
    <col min="1" max="1" width="26.7109375" style="119" bestFit="1" customWidth="1"/>
    <col min="2" max="2" width="10.28125" style="119" customWidth="1"/>
    <col min="3" max="3" width="9.7109375" style="119" customWidth="1"/>
    <col min="4" max="4" width="10.28125" style="119" customWidth="1"/>
    <col min="5" max="5" width="9.421875" style="119" customWidth="1"/>
    <col min="6" max="6" width="10.8515625" style="119" customWidth="1"/>
    <col min="7" max="8" width="9.57421875" style="119" customWidth="1"/>
    <col min="9" max="16384" width="10.28125" style="119" customWidth="1"/>
  </cols>
  <sheetData>
    <row r="1" ht="31.5" customHeight="1">
      <c r="A1" s="118" t="s">
        <v>250</v>
      </c>
    </row>
    <row r="2" ht="18.75">
      <c r="A2" s="118"/>
    </row>
    <row r="3" ht="12.75">
      <c r="D3" s="59"/>
    </row>
    <row r="4" spans="1:10" s="122" customFormat="1" ht="25.5">
      <c r="A4" s="120" t="s">
        <v>236</v>
      </c>
      <c r="B4" s="121" t="s">
        <v>237</v>
      </c>
      <c r="C4" s="121" t="s">
        <v>252</v>
      </c>
      <c r="D4" s="121" t="s">
        <v>238</v>
      </c>
      <c r="E4" s="121" t="s">
        <v>239</v>
      </c>
      <c r="F4" s="121" t="s">
        <v>251</v>
      </c>
      <c r="G4" s="121" t="s">
        <v>240</v>
      </c>
      <c r="H4" s="121" t="s">
        <v>241</v>
      </c>
      <c r="I4" s="121" t="s">
        <v>242</v>
      </c>
      <c r="J4" s="121" t="s">
        <v>243</v>
      </c>
    </row>
    <row r="5" spans="1:10" ht="12.75">
      <c r="A5" s="119" t="s">
        <v>72</v>
      </c>
      <c r="B5" s="59">
        <f>'Kultur gemensamt'!B19+'Kultur gemensamt'!B49-'Kultur gemensamt'!B61+'Kultur gemensamt'!B62-'Kultur gemensamt'!B66-'Kultur gemensamt'!B68+'Kultur gemensamt'!B70+Kulturupplevelser!B27+'Skapande verksamhet'!B52+'Skapande verksamhet'!B53+'Skapande verksamhet'!B54+'Skapande verksamhet'!B55+'Skapande verksamhet'!B56+'Skapande verksamhet'!B57+'Skapande verksamhet'!B58+'Skapande verksamhet'!B59+'Arkiv och museum'!B17-'Arkiv och museum'!B22-'Arkiv och museum'!B23+Konst!B20+Konst!B21+Föreningsbidrag!B16+'Reception och konferens'!B19+'Reception och konferens'!B20</f>
        <v>8654</v>
      </c>
      <c r="C5" s="59">
        <f>'Kultur gemensamt'!B10+'Kultur gemensamt'!B11+'Kultur gemensamt'!B9+'Reception och konferens'!B6+'Reception och konferens'!B7</f>
        <v>783</v>
      </c>
      <c r="D5" s="59">
        <f>'Kultur gemensamt'!B4+'Kultur gemensamt'!B5+'Kultur gemensamt'!B6+'Kultur gemensamt'!B9+Kulturupplevelser!B4+'Skapande verksamhet'!B8+'Skapande verksamhet'!B20+'Arkiv och museum'!B4+Konst!B5+Föreningsbidrag!B4+'Reception och konferens'!B4</f>
        <v>7947</v>
      </c>
      <c r="E5" s="59">
        <f>(C5+D5)-B5</f>
        <v>76</v>
      </c>
      <c r="F5" s="59">
        <f>'Kultur gemensamt'!B73+'Kultur gemensamt'!B74</f>
        <v>71</v>
      </c>
      <c r="G5" s="59">
        <f>SUM(E5:F5)</f>
        <v>147</v>
      </c>
      <c r="H5" s="59">
        <v>320</v>
      </c>
      <c r="I5" s="119">
        <f>F5*-1</f>
        <v>-71</v>
      </c>
      <c r="J5" s="59">
        <f>SUM(H5:I5)</f>
        <v>249</v>
      </c>
    </row>
    <row r="6" spans="1:10" ht="12.75">
      <c r="A6" s="119" t="s">
        <v>244</v>
      </c>
      <c r="B6" s="59">
        <f>Kulturupplevelser!B38+Kulturupplevelser!B39+Kulturupplevelser!B40+Kulturupplevelser!B41+Kulturupplevelser!B43+Kulturupplevelser!B45+Kulturupplevelser!B44+'Skapande verksamhet'!B120</f>
        <v>1226</v>
      </c>
      <c r="C6" s="59">
        <f>Kulturupplevelser!B14+Kulturupplevelser!B17+Kulturupplevelser!B18+Kulturupplevelser!B20+'Skapande verksamhet'!B37+'Skapande verksamhet'!B38</f>
        <v>676</v>
      </c>
      <c r="D6" s="59">
        <f>Kulturupplevelser!B6+Kulturupplevelser!B7+Kulturupplevelser!B9+Kulturupplevelser!B10+Kulturupplevelser!B11+Kulturupplevelser!B12+'Skapande verksamhet'!B36</f>
        <v>545.2</v>
      </c>
      <c r="E6" s="59">
        <f aca="true" t="shared" si="0" ref="E6:E13">(C6+D6)-B6</f>
        <v>-4.7999999999999545</v>
      </c>
      <c r="G6" s="59">
        <f aca="true" t="shared" si="1" ref="G6:G13">SUM(E6:F6)</f>
        <v>-4.7999999999999545</v>
      </c>
      <c r="H6" s="59">
        <v>100</v>
      </c>
      <c r="I6" s="119">
        <f aca="true" t="shared" si="2" ref="I6:I13">F6*-1</f>
        <v>0</v>
      </c>
      <c r="J6" s="59">
        <f aca="true" t="shared" si="3" ref="J6:J13">SUM(H6:I6)</f>
        <v>100</v>
      </c>
    </row>
    <row r="7" spans="1:10" ht="12.75">
      <c r="A7" s="119" t="s">
        <v>245</v>
      </c>
      <c r="B7" s="59">
        <f>Kulturupplevelser!B5+Kulturupplevelser!B42+'Skapande verksamhet'!B60+'Skapande verksamhet'!B61+'Skapande verksamhet'!B62+'Skapande verksamhet'!B63+'Skapande verksamhet'!B81+'Skapande verksamhet'!B93+'Skapande verksamhet'!B101+'Skapande verksamhet'!B108+'Skapande verksamhet'!B117+Uppdragsverksamhet!B28</f>
        <v>2474.8</v>
      </c>
      <c r="C7" s="59">
        <f>Kulturupplevelser!B16+Kulturupplevelser!B19+'Skapande verksamhet'!B5+'Skapande verksamhet'!B26+'Skapande verksamhet'!B32+'Skapande verksamhet'!B23+'Skapande verksamhet'!B25+'Skapande verksamhet'!B27+Uppdragsverksamhet!B4</f>
        <v>968.645</v>
      </c>
      <c r="D7" s="59">
        <f>Kulturupplevelser!B5+Kulturupplevelser!B8+'Skapande verksamhet'!B9+'Skapande verksamhet'!B21+'Skapande verksamhet'!B22</f>
        <v>1085.8</v>
      </c>
      <c r="E7" s="59">
        <f t="shared" si="0"/>
        <v>-420.3550000000005</v>
      </c>
      <c r="G7" s="59">
        <f t="shared" si="1"/>
        <v>-420.3550000000005</v>
      </c>
      <c r="H7" s="59">
        <v>410</v>
      </c>
      <c r="I7" s="119">
        <f t="shared" si="2"/>
        <v>0</v>
      </c>
      <c r="J7" s="59">
        <f t="shared" si="3"/>
        <v>410</v>
      </c>
    </row>
    <row r="8" spans="1:10" ht="12.75">
      <c r="A8" s="119" t="s">
        <v>89</v>
      </c>
      <c r="B8" s="59">
        <f>'Skapande verksamhet'!B64+'Skapande verksamhet'!B65+'Skapande verksamhet'!B66+'Skapande verksamhet'!B67+'Skapande verksamhet'!B73+'Skapande verksamhet'!B74+'Skapande verksamhet'!B75+'Skapande verksamhet'!B76+'Skapande verksamhet'!B77+'Skapande verksamhet'!B78</f>
        <v>216</v>
      </c>
      <c r="C8" s="59">
        <f>'Skapande verksamhet'!B12+'Skapande verksamhet'!B17+'Skapande verksamhet'!B13+'Skapande verksamhet'!B14+'Skapande verksamhet'!B15+'Skapande verksamhet'!B16</f>
        <v>141</v>
      </c>
      <c r="D8" s="59">
        <f>'Skapande verksamhet'!B10</f>
        <v>75</v>
      </c>
      <c r="E8" s="59">
        <f t="shared" si="0"/>
        <v>0</v>
      </c>
      <c r="G8" s="59">
        <f t="shared" si="1"/>
        <v>0</v>
      </c>
      <c r="H8" s="59">
        <v>60</v>
      </c>
      <c r="I8" s="119">
        <f t="shared" si="2"/>
        <v>0</v>
      </c>
      <c r="J8" s="59">
        <f t="shared" si="3"/>
        <v>60</v>
      </c>
    </row>
    <row r="9" spans="1:10" ht="12.75">
      <c r="A9" s="119" t="s">
        <v>246</v>
      </c>
      <c r="B9" s="59">
        <f>Konst!B22+Konst!B23+Konst!B24+Konst!B25+Konst!B28+Konst!B29+Konst!B30+Konst!B31+Konst!B35+Föreningsbidrag!B21</f>
        <v>753</v>
      </c>
      <c r="C9" s="59">
        <f>Konst!B10</f>
        <v>200</v>
      </c>
      <c r="D9" s="59">
        <f>Konst!B4+Konst!B6+Konst!B7+Konst!B8+Föreningsbidrag!B5</f>
        <v>460</v>
      </c>
      <c r="E9" s="59">
        <f t="shared" si="0"/>
        <v>-93</v>
      </c>
      <c r="G9" s="59">
        <f t="shared" si="1"/>
        <v>-93</v>
      </c>
      <c r="H9" s="59">
        <v>93</v>
      </c>
      <c r="I9" s="119">
        <f t="shared" si="2"/>
        <v>0</v>
      </c>
      <c r="J9" s="59">
        <f t="shared" si="3"/>
        <v>93</v>
      </c>
    </row>
    <row r="10" spans="1:10" ht="12.75">
      <c r="A10" s="119" t="s">
        <v>249</v>
      </c>
      <c r="B10" s="59">
        <f>'Arkiv och museum'!B22+'Arkiv och museum'!B23+'Arkiv och museum'!B26+'Arkiv och museum'!B27+'Arkiv och museum'!B28+'Arkiv och museum'!B29+'Kultur i vården'!B20+'Skapande verksamhet'!B68+'Skapande verksamhet'!B69</f>
        <v>436</v>
      </c>
      <c r="C10" s="59">
        <f>'Arkiv och museum'!B5+'Arkiv och museum'!B10+'Arkiv och museum'!B9</f>
        <v>122</v>
      </c>
      <c r="D10" s="59">
        <f>'Arkiv och museum'!B6+'Arkiv och museum'!B7+'Arkiv och museum'!B8+'Kultur i vården'!B4+'Skapande verksamhet'!B11</f>
        <v>350</v>
      </c>
      <c r="E10" s="59">
        <f t="shared" si="0"/>
        <v>36</v>
      </c>
      <c r="G10" s="59">
        <f t="shared" si="1"/>
        <v>36</v>
      </c>
      <c r="H10" s="59"/>
      <c r="I10" s="119">
        <f t="shared" si="2"/>
        <v>0</v>
      </c>
      <c r="J10" s="59">
        <f t="shared" si="3"/>
        <v>0</v>
      </c>
    </row>
    <row r="11" spans="1:10" ht="12.75">
      <c r="A11" s="119" t="s">
        <v>247</v>
      </c>
      <c r="B11" s="59">
        <f>'Kultur gemensamt'!B45</f>
        <v>100</v>
      </c>
      <c r="C11" s="59">
        <f>'Kultur gemensamt'!B12</f>
        <v>15</v>
      </c>
      <c r="D11" s="59">
        <f>'Kultur gemensamt'!B8</f>
        <v>175</v>
      </c>
      <c r="E11" s="59">
        <f t="shared" si="0"/>
        <v>90</v>
      </c>
      <c r="G11" s="59">
        <f t="shared" si="1"/>
        <v>90</v>
      </c>
      <c r="H11" s="59"/>
      <c r="I11" s="119">
        <f t="shared" si="2"/>
        <v>0</v>
      </c>
      <c r="J11" s="59">
        <f t="shared" si="3"/>
        <v>0</v>
      </c>
    </row>
    <row r="12" spans="1:10" ht="12.75">
      <c r="A12" s="119" t="s">
        <v>248</v>
      </c>
      <c r="B12" s="59">
        <f>'Reception och konferens'!B21+'Reception och konferens'!B22+'Reception och konferens'!B27+'Reception och konferens'!B28+'Reception och konferens'!B29</f>
        <v>99</v>
      </c>
      <c r="C12" s="59">
        <f>'Reception och konferens'!B8+'Reception och konferens'!B9</f>
        <v>40</v>
      </c>
      <c r="D12" s="59">
        <f>'Reception och konferens'!B5</f>
        <v>30</v>
      </c>
      <c r="E12" s="59">
        <f t="shared" si="0"/>
        <v>-29</v>
      </c>
      <c r="G12" s="59">
        <f t="shared" si="1"/>
        <v>-29</v>
      </c>
      <c r="H12" s="59"/>
      <c r="I12" s="119">
        <f t="shared" si="2"/>
        <v>0</v>
      </c>
      <c r="J12" s="59">
        <f t="shared" si="3"/>
        <v>0</v>
      </c>
    </row>
    <row r="13" spans="1:10" ht="12.75">
      <c r="A13" s="119" t="s">
        <v>82</v>
      </c>
      <c r="B13" s="59">
        <f>'Kultur gemensamt'!B66+'Kultur gemensamt'!B67+'Kultur gemensamt'!B68</f>
        <v>100</v>
      </c>
      <c r="C13" s="59"/>
      <c r="D13" s="59">
        <f>'Kultur gemensamt'!B7</f>
        <v>100</v>
      </c>
      <c r="E13" s="59">
        <f t="shared" si="0"/>
        <v>0</v>
      </c>
      <c r="G13" s="59">
        <f t="shared" si="1"/>
        <v>0</v>
      </c>
      <c r="H13" s="59"/>
      <c r="I13" s="119">
        <f t="shared" si="2"/>
        <v>0</v>
      </c>
      <c r="J13" s="59">
        <f t="shared" si="3"/>
        <v>0</v>
      </c>
    </row>
    <row r="14" spans="1:10" ht="15.75" customHeight="1">
      <c r="A14" s="123" t="s">
        <v>71</v>
      </c>
      <c r="B14" s="124">
        <f aca="true" t="shared" si="4" ref="B14:J14">SUM(B5:B13)</f>
        <v>14058.8</v>
      </c>
      <c r="C14" s="124">
        <f t="shared" si="4"/>
        <v>2945.645</v>
      </c>
      <c r="D14" s="124">
        <f t="shared" si="4"/>
        <v>10768</v>
      </c>
      <c r="E14" s="124">
        <f t="shared" si="4"/>
        <v>-345.1550000000004</v>
      </c>
      <c r="F14" s="124">
        <f t="shared" si="4"/>
        <v>71</v>
      </c>
      <c r="G14" s="124">
        <f t="shared" si="4"/>
        <v>-274.1550000000004</v>
      </c>
      <c r="H14" s="124">
        <f t="shared" si="4"/>
        <v>983</v>
      </c>
      <c r="I14" s="124">
        <f t="shared" si="4"/>
        <v>-71</v>
      </c>
      <c r="J14" s="124">
        <f t="shared" si="4"/>
        <v>912</v>
      </c>
    </row>
    <row r="16" ht="12.75">
      <c r="D16" s="5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&amp;L&amp;"Times New RomanVFet"&amp;12NACKA KOMMUN&amp;"Times New RomanVNormal"
Kultur Nacka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B5" sqref="B5"/>
    </sheetView>
  </sheetViews>
  <sheetFormatPr defaultColWidth="9.140625" defaultRowHeight="12.75"/>
  <cols>
    <col min="1" max="1" width="24.421875" style="20" customWidth="1"/>
    <col min="2" max="2" width="12.28125" style="23" customWidth="1"/>
    <col min="3" max="3" width="10.00390625" style="20" customWidth="1"/>
    <col min="4" max="4" width="6.421875" style="20" customWidth="1"/>
    <col min="5" max="5" width="9.140625" style="20" customWidth="1"/>
    <col min="6" max="7" width="5.8515625" style="20" customWidth="1"/>
    <col min="8" max="8" width="5.710937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ht="19.5" customHeight="1">
      <c r="B1" s="21"/>
    </row>
    <row r="2" ht="12.75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0" ht="19.5" customHeight="1">
      <c r="A4" s="16" t="s">
        <v>158</v>
      </c>
      <c r="B4" s="73">
        <f>B18-B6-B7</f>
        <v>293</v>
      </c>
      <c r="C4" s="18">
        <v>4641</v>
      </c>
      <c r="D4" s="19">
        <v>3614</v>
      </c>
      <c r="E4" s="18"/>
      <c r="F4" s="18">
        <v>93</v>
      </c>
      <c r="G4" s="18">
        <v>1</v>
      </c>
      <c r="H4" s="18"/>
      <c r="I4" s="18"/>
      <c r="J4" s="18">
        <v>4602</v>
      </c>
    </row>
    <row r="5" spans="1:10" ht="18" customHeight="1">
      <c r="A5" s="26" t="s">
        <v>159</v>
      </c>
      <c r="B5" s="99">
        <f>B26-B8-B9</f>
        <v>30</v>
      </c>
      <c r="C5" s="26">
        <v>4648</v>
      </c>
      <c r="D5" s="26">
        <v>3614</v>
      </c>
      <c r="E5" s="26"/>
      <c r="F5" s="26">
        <v>931</v>
      </c>
      <c r="G5" s="26">
        <v>4</v>
      </c>
      <c r="H5" s="26"/>
      <c r="I5" s="26"/>
      <c r="J5" s="26">
        <v>4602</v>
      </c>
    </row>
    <row r="6" spans="1:10" ht="19.5" customHeight="1">
      <c r="A6" s="16" t="s">
        <v>58</v>
      </c>
      <c r="B6" s="73">
        <v>150</v>
      </c>
      <c r="C6" s="18">
        <v>4641</v>
      </c>
      <c r="D6" s="19">
        <v>3613</v>
      </c>
      <c r="E6" s="18"/>
      <c r="F6" s="18">
        <v>93</v>
      </c>
      <c r="G6" s="18">
        <v>118</v>
      </c>
      <c r="H6" s="18"/>
      <c r="I6" s="18"/>
      <c r="J6" s="18">
        <v>9</v>
      </c>
    </row>
    <row r="7" spans="1:10" ht="19.5" customHeight="1">
      <c r="A7" s="16" t="s">
        <v>59</v>
      </c>
      <c r="B7" s="73">
        <v>150</v>
      </c>
      <c r="C7" s="18">
        <v>4641</v>
      </c>
      <c r="D7" s="19">
        <v>3613</v>
      </c>
      <c r="E7" s="18"/>
      <c r="F7" s="18">
        <v>93</v>
      </c>
      <c r="G7" s="18">
        <v>118</v>
      </c>
      <c r="H7" s="18"/>
      <c r="I7" s="18"/>
      <c r="J7" s="18">
        <v>9</v>
      </c>
    </row>
    <row r="8" spans="1:10" ht="19.5" customHeight="1">
      <c r="A8" s="16" t="s">
        <v>60</v>
      </c>
      <c r="B8" s="17">
        <v>20</v>
      </c>
      <c r="C8" s="18">
        <v>4648</v>
      </c>
      <c r="D8" s="19">
        <v>3018</v>
      </c>
      <c r="E8" s="18"/>
      <c r="F8" s="18">
        <v>931</v>
      </c>
      <c r="G8" s="18">
        <v>4</v>
      </c>
      <c r="H8" s="18"/>
      <c r="I8" s="18"/>
      <c r="J8" s="18">
        <v>9</v>
      </c>
    </row>
    <row r="9" spans="1:10" ht="19.5" customHeight="1">
      <c r="A9" s="16" t="s">
        <v>61</v>
      </c>
      <c r="B9" s="17">
        <v>20</v>
      </c>
      <c r="C9" s="18">
        <v>4648</v>
      </c>
      <c r="D9" s="19">
        <v>3019</v>
      </c>
      <c r="E9" s="18"/>
      <c r="F9" s="18">
        <v>932</v>
      </c>
      <c r="G9" s="18">
        <v>4</v>
      </c>
      <c r="H9" s="18"/>
      <c r="I9" s="18"/>
      <c r="J9" s="18">
        <v>9</v>
      </c>
    </row>
    <row r="10" spans="1:10" ht="18" customHeight="1">
      <c r="A10" s="26" t="s">
        <v>316</v>
      </c>
      <c r="B10" s="99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16"/>
      <c r="B11" s="17"/>
      <c r="C11" s="18"/>
      <c r="D11" s="19"/>
      <c r="E11" s="18"/>
      <c r="F11" s="18"/>
      <c r="G11" s="18"/>
      <c r="H11" s="18"/>
      <c r="I11" s="18"/>
      <c r="J11" s="18"/>
    </row>
    <row r="12" spans="1:10" ht="19.5" customHeight="1">
      <c r="A12" s="16"/>
      <c r="B12" s="17"/>
      <c r="C12" s="18"/>
      <c r="D12" s="19"/>
      <c r="E12" s="18"/>
      <c r="F12" s="18"/>
      <c r="G12" s="18"/>
      <c r="H12" s="18"/>
      <c r="I12" s="18"/>
      <c r="J12" s="18"/>
    </row>
    <row r="13" spans="1:2" s="39" customFormat="1" ht="19.5" customHeight="1">
      <c r="A13" s="49" t="s">
        <v>4</v>
      </c>
      <c r="B13" s="48">
        <f>SUM(B4:B12)</f>
        <v>663</v>
      </c>
    </row>
    <row r="14" spans="1:2" ht="19.5" customHeight="1">
      <c r="A14" s="42"/>
      <c r="B14" s="25"/>
    </row>
    <row r="15" s="25" customFormat="1" ht="15"/>
    <row r="16" s="25" customFormat="1" ht="15"/>
    <row r="17" spans="1:10" s="24" customFormat="1" ht="18">
      <c r="A17" s="22" t="s">
        <v>0</v>
      </c>
      <c r="B17" s="48" t="s">
        <v>6</v>
      </c>
      <c r="C17" s="49" t="s">
        <v>7</v>
      </c>
      <c r="D17" s="49" t="s">
        <v>39</v>
      </c>
      <c r="E17" s="49" t="s">
        <v>8</v>
      </c>
      <c r="F17" s="49" t="s">
        <v>9</v>
      </c>
      <c r="G17" s="49" t="s">
        <v>10</v>
      </c>
      <c r="H17" s="49" t="s">
        <v>48</v>
      </c>
      <c r="I17" s="49" t="s">
        <v>40</v>
      </c>
      <c r="J17" s="49" t="s">
        <v>12</v>
      </c>
    </row>
    <row r="18" spans="1:18" s="39" customFormat="1" ht="19.5" customHeight="1">
      <c r="A18" s="52" t="s">
        <v>31</v>
      </c>
      <c r="B18" s="47">
        <f>SUM(B19:B24)</f>
        <v>593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26" s="30" customFormat="1" ht="19.5" customHeight="1">
      <c r="A19" s="16" t="s">
        <v>64</v>
      </c>
      <c r="B19" s="39">
        <v>407</v>
      </c>
      <c r="C19" s="27">
        <v>4641</v>
      </c>
      <c r="D19" s="28">
        <v>4</v>
      </c>
      <c r="E19" s="27"/>
      <c r="F19" s="27">
        <v>93</v>
      </c>
      <c r="G19" s="18">
        <v>118</v>
      </c>
      <c r="H19" s="18"/>
      <c r="I19" s="18"/>
      <c r="J19" s="27">
        <v>9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9.5" customHeight="1">
      <c r="A20" s="26" t="s">
        <v>13</v>
      </c>
      <c r="B20" s="27">
        <v>157</v>
      </c>
      <c r="C20" s="27">
        <v>4641</v>
      </c>
      <c r="D20" s="28">
        <v>4</v>
      </c>
      <c r="E20" s="27"/>
      <c r="F20" s="27">
        <v>93</v>
      </c>
      <c r="G20" s="18">
        <v>118</v>
      </c>
      <c r="H20" s="18"/>
      <c r="I20" s="18"/>
      <c r="J20" s="27">
        <v>9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9.5" customHeight="1">
      <c r="A21" s="26" t="s">
        <v>65</v>
      </c>
      <c r="B21" s="73">
        <v>21</v>
      </c>
      <c r="C21" s="27">
        <v>4648</v>
      </c>
      <c r="D21" s="28">
        <v>4</v>
      </c>
      <c r="E21" s="27"/>
      <c r="F21" s="18">
        <v>93</v>
      </c>
      <c r="G21" s="18">
        <v>16</v>
      </c>
      <c r="H21" s="18"/>
      <c r="I21" s="18"/>
      <c r="J21" s="27">
        <v>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>
      <c r="A22" s="26" t="s">
        <v>13</v>
      </c>
      <c r="B22" s="27">
        <v>8</v>
      </c>
      <c r="C22" s="27">
        <v>4648</v>
      </c>
      <c r="D22" s="28">
        <v>4</v>
      </c>
      <c r="E22" s="27"/>
      <c r="F22" s="27">
        <v>93</v>
      </c>
      <c r="G22" s="18">
        <v>16</v>
      </c>
      <c r="H22" s="18"/>
      <c r="I22" s="18"/>
      <c r="J22" s="27">
        <v>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.5" customHeight="1">
      <c r="A23" s="26"/>
      <c r="B23" s="17"/>
      <c r="C23" s="27"/>
      <c r="D23" s="28">
        <v>4</v>
      </c>
      <c r="E23" s="27"/>
      <c r="F23" s="18"/>
      <c r="G23" s="18"/>
      <c r="H23" s="18"/>
      <c r="I23" s="18"/>
      <c r="J23" s="27">
        <v>9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9.5" customHeight="1">
      <c r="A24" s="26"/>
      <c r="B24" s="27"/>
      <c r="C24" s="27"/>
      <c r="D24" s="28">
        <v>4</v>
      </c>
      <c r="E24" s="27"/>
      <c r="F24" s="27"/>
      <c r="G24" s="18"/>
      <c r="H24" s="18"/>
      <c r="I24" s="18"/>
      <c r="J24" s="27">
        <v>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="31" customFormat="1" ht="19.5" customHeight="1"/>
    <row r="26" spans="1:18" s="39" customFormat="1" ht="19.5" customHeight="1">
      <c r="A26" s="52" t="s">
        <v>57</v>
      </c>
      <c r="B26" s="47">
        <f>SUM(B27:B33)</f>
        <v>70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6" s="29" customFormat="1" ht="19.5" customHeight="1">
      <c r="A27" s="26" t="s">
        <v>155</v>
      </c>
      <c r="B27" s="73">
        <v>40</v>
      </c>
      <c r="C27" s="27">
        <v>4648</v>
      </c>
      <c r="D27" s="28">
        <v>4</v>
      </c>
      <c r="E27" s="18"/>
      <c r="F27" s="18">
        <v>931</v>
      </c>
      <c r="G27" s="18">
        <v>723</v>
      </c>
      <c r="H27" s="18"/>
      <c r="I27" s="18"/>
      <c r="J27" s="18">
        <v>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9.5" customHeight="1">
      <c r="A28" s="26" t="s">
        <v>156</v>
      </c>
      <c r="B28" s="17">
        <v>20</v>
      </c>
      <c r="C28" s="27">
        <v>4648</v>
      </c>
      <c r="D28" s="28">
        <v>4</v>
      </c>
      <c r="E28" s="18"/>
      <c r="F28" s="18">
        <v>931</v>
      </c>
      <c r="G28" s="18">
        <v>7</v>
      </c>
      <c r="H28" s="18"/>
      <c r="I28" s="18"/>
      <c r="J28" s="18">
        <v>9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9.5" customHeight="1">
      <c r="A29" s="26" t="s">
        <v>157</v>
      </c>
      <c r="B29" s="17">
        <v>10</v>
      </c>
      <c r="C29" s="27">
        <v>4648</v>
      </c>
      <c r="D29" s="28">
        <v>4</v>
      </c>
      <c r="E29" s="18"/>
      <c r="F29" s="18">
        <v>932</v>
      </c>
      <c r="G29" s="18">
        <v>423</v>
      </c>
      <c r="H29" s="18"/>
      <c r="I29" s="18"/>
      <c r="J29" s="18">
        <v>9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6"/>
      <c r="B30" s="17"/>
      <c r="C30" s="27"/>
      <c r="D30" s="28">
        <v>4</v>
      </c>
      <c r="E30" s="18"/>
      <c r="F30" s="18"/>
      <c r="G30" s="18"/>
      <c r="H30" s="18"/>
      <c r="I30" s="18"/>
      <c r="J30" s="1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10" ht="19.5" customHeight="1">
      <c r="A31" s="26"/>
      <c r="B31" s="17"/>
      <c r="C31" s="27"/>
      <c r="D31" s="28">
        <v>4</v>
      </c>
      <c r="E31" s="18"/>
      <c r="F31" s="18"/>
      <c r="G31" s="18"/>
      <c r="H31" s="18"/>
      <c r="I31" s="18"/>
      <c r="J31" s="18"/>
    </row>
    <row r="32" spans="1:10" ht="19.5" customHeight="1">
      <c r="A32" s="26"/>
      <c r="B32" s="17"/>
      <c r="C32" s="27"/>
      <c r="D32" s="28">
        <v>4</v>
      </c>
      <c r="E32" s="18"/>
      <c r="F32" s="18"/>
      <c r="G32" s="18"/>
      <c r="H32" s="18"/>
      <c r="I32" s="18"/>
      <c r="J32" s="18"/>
    </row>
    <row r="33" spans="1:10" ht="19.5" customHeight="1">
      <c r="A33" s="26"/>
      <c r="B33" s="17"/>
      <c r="C33" s="27"/>
      <c r="D33" s="28">
        <v>4</v>
      </c>
      <c r="E33" s="18"/>
      <c r="F33" s="18"/>
      <c r="G33" s="18"/>
      <c r="H33" s="18"/>
      <c r="I33" s="18"/>
      <c r="J33" s="18"/>
    </row>
    <row r="34" spans="1:10" ht="19.5" customHeight="1">
      <c r="A34" s="37"/>
      <c r="B34" s="37"/>
      <c r="C34" s="37"/>
      <c r="D34" s="37"/>
      <c r="E34" s="38"/>
      <c r="F34" s="38"/>
      <c r="G34" s="38"/>
      <c r="H34" s="38"/>
      <c r="I34" s="38"/>
      <c r="J34" s="38"/>
    </row>
    <row r="36" spans="1:2" s="39" customFormat="1" ht="19.5" customHeight="1">
      <c r="A36" s="50" t="s">
        <v>3</v>
      </c>
      <c r="B36" s="51">
        <f>B18+B26</f>
        <v>663</v>
      </c>
    </row>
  </sheetData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2" manualBreakCount="2">
    <brk id="60" max="65535" man="1"/>
    <brk id="13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21">
      <selection activeCell="D31" sqref="D31"/>
    </sheetView>
  </sheetViews>
  <sheetFormatPr defaultColWidth="9.140625" defaultRowHeight="12.75"/>
  <cols>
    <col min="1" max="1" width="24.421875" style="20" customWidth="1"/>
    <col min="2" max="2" width="12.28125" style="23" customWidth="1"/>
    <col min="3" max="3" width="8.8515625" style="20" customWidth="1"/>
    <col min="4" max="4" width="6.421875" style="20" customWidth="1"/>
    <col min="5" max="5" width="7.00390625" style="20" customWidth="1"/>
    <col min="6" max="7" width="5.8515625" style="20" customWidth="1"/>
    <col min="8" max="8" width="5.710937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spans="1:2" ht="19.5" customHeight="1">
      <c r="A1" s="22" t="s">
        <v>316</v>
      </c>
      <c r="B1" s="21"/>
    </row>
    <row r="2" ht="12.75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0" ht="19.5" customHeight="1">
      <c r="A4" s="16" t="s">
        <v>170</v>
      </c>
      <c r="B4" s="17">
        <v>80</v>
      </c>
      <c r="C4" s="86">
        <v>4643</v>
      </c>
      <c r="D4" s="19">
        <v>3614</v>
      </c>
      <c r="E4" s="18"/>
      <c r="F4" s="18">
        <v>322</v>
      </c>
      <c r="G4" s="18">
        <v>4</v>
      </c>
      <c r="H4" s="18">
        <v>2307</v>
      </c>
      <c r="I4" s="18"/>
      <c r="J4" s="18">
        <v>88</v>
      </c>
    </row>
    <row r="5" spans="1:10" ht="19.5" customHeight="1">
      <c r="A5" s="16"/>
      <c r="B5" s="17"/>
      <c r="C5" s="18"/>
      <c r="D5" s="19"/>
      <c r="E5" s="18"/>
      <c r="F5" s="18"/>
      <c r="G5" s="18"/>
      <c r="H5" s="18"/>
      <c r="I5" s="18"/>
      <c r="J5" s="18"/>
    </row>
    <row r="6" spans="1:10" ht="19.5" customHeight="1">
      <c r="A6" s="16"/>
      <c r="B6" s="17"/>
      <c r="C6" s="18"/>
      <c r="D6" s="19"/>
      <c r="E6" s="18"/>
      <c r="F6" s="18"/>
      <c r="G6" s="18"/>
      <c r="H6" s="18"/>
      <c r="I6" s="18"/>
      <c r="J6" s="18"/>
    </row>
    <row r="7" spans="1:10" ht="19.5" customHeight="1">
      <c r="A7" s="16"/>
      <c r="B7" s="17"/>
      <c r="C7" s="18"/>
      <c r="D7" s="19"/>
      <c r="E7" s="18"/>
      <c r="F7" s="18"/>
      <c r="G7" s="18"/>
      <c r="H7" s="18"/>
      <c r="I7" s="18"/>
      <c r="J7" s="18"/>
    </row>
    <row r="8" spans="1:10" ht="19.5" customHeight="1">
      <c r="A8" s="16"/>
      <c r="B8" s="17"/>
      <c r="C8" s="18"/>
      <c r="D8" s="19"/>
      <c r="E8" s="18"/>
      <c r="F8" s="18"/>
      <c r="G8" s="18"/>
      <c r="H8" s="18"/>
      <c r="I8" s="18"/>
      <c r="J8" s="18"/>
    </row>
    <row r="9" spans="1:10" ht="19.5" customHeight="1">
      <c r="A9" s="16"/>
      <c r="B9" s="17"/>
      <c r="C9" s="18"/>
      <c r="D9" s="19"/>
      <c r="E9" s="18"/>
      <c r="F9" s="18"/>
      <c r="G9" s="18"/>
      <c r="H9" s="18"/>
      <c r="I9" s="18"/>
      <c r="J9" s="18"/>
    </row>
    <row r="10" spans="1:10" ht="19.5" customHeight="1">
      <c r="A10" s="16"/>
      <c r="B10" s="17"/>
      <c r="C10" s="18"/>
      <c r="D10" s="19"/>
      <c r="E10" s="18"/>
      <c r="F10" s="18"/>
      <c r="G10" s="18"/>
      <c r="H10" s="18"/>
      <c r="I10" s="18"/>
      <c r="J10" s="18"/>
    </row>
    <row r="11" spans="1:10" ht="19.5" customHeight="1">
      <c r="A11" s="16"/>
      <c r="B11" s="17"/>
      <c r="C11" s="18"/>
      <c r="D11" s="19"/>
      <c r="E11" s="18"/>
      <c r="F11" s="18"/>
      <c r="G11" s="18"/>
      <c r="H11" s="18"/>
      <c r="I11" s="18"/>
      <c r="J11" s="18"/>
    </row>
    <row r="12" spans="1:10" ht="19.5" customHeight="1">
      <c r="A12" s="16"/>
      <c r="B12" s="17"/>
      <c r="C12" s="18"/>
      <c r="D12" s="19"/>
      <c r="E12" s="18"/>
      <c r="F12" s="18"/>
      <c r="G12" s="18"/>
      <c r="H12" s="18"/>
      <c r="I12" s="18"/>
      <c r="J12" s="18"/>
    </row>
    <row r="13" spans="1:2" s="39" customFormat="1" ht="19.5" customHeight="1">
      <c r="A13" s="49" t="s">
        <v>4</v>
      </c>
      <c r="B13" s="48">
        <f>SUM(B4:B12)</f>
        <v>80</v>
      </c>
    </row>
    <row r="14" spans="1:2" ht="19.5" customHeight="1">
      <c r="A14" s="42"/>
      <c r="B14" s="25"/>
    </row>
    <row r="15" s="25" customFormat="1" ht="16.5" customHeight="1"/>
    <row r="16" s="25" customFormat="1" ht="15"/>
    <row r="17" spans="1:10" s="24" customFormat="1" ht="18">
      <c r="A17" s="22" t="s">
        <v>0</v>
      </c>
      <c r="B17" s="48" t="s">
        <v>6</v>
      </c>
      <c r="C17" s="49" t="s">
        <v>7</v>
      </c>
      <c r="D17" s="49" t="s">
        <v>39</v>
      </c>
      <c r="E17" s="49" t="s">
        <v>8</v>
      </c>
      <c r="F17" s="49" t="s">
        <v>9</v>
      </c>
      <c r="G17" s="49" t="s">
        <v>10</v>
      </c>
      <c r="H17" s="49" t="s">
        <v>48</v>
      </c>
      <c r="I17" s="49" t="s">
        <v>40</v>
      </c>
      <c r="J17" s="49" t="s">
        <v>12</v>
      </c>
    </row>
    <row r="18" spans="1:18" s="39" customFormat="1" ht="19.5" customHeight="1">
      <c r="A18" s="52" t="s">
        <v>31</v>
      </c>
      <c r="B18" s="146">
        <f>SUM(B22:B24)</f>
        <v>0</v>
      </c>
      <c r="C18" s="147"/>
      <c r="D18" s="147"/>
      <c r="E18" s="147"/>
      <c r="F18" s="147"/>
      <c r="G18" s="147"/>
      <c r="H18" s="147"/>
      <c r="I18" s="147"/>
      <c r="J18" s="147"/>
      <c r="K18" s="41"/>
      <c r="L18" s="41"/>
      <c r="M18" s="41"/>
      <c r="N18" s="41"/>
      <c r="O18" s="41"/>
      <c r="P18" s="41"/>
      <c r="Q18" s="41"/>
      <c r="R18" s="41"/>
    </row>
    <row r="19" spans="1:18" s="39" customFormat="1" ht="19.5" customHeight="1">
      <c r="A19" s="151"/>
      <c r="B19" s="152"/>
      <c r="C19" s="147"/>
      <c r="D19" s="147"/>
      <c r="E19" s="147"/>
      <c r="F19" s="147"/>
      <c r="G19" s="147"/>
      <c r="H19" s="147"/>
      <c r="I19" s="147"/>
      <c r="J19" s="147"/>
      <c r="K19" s="41"/>
      <c r="L19" s="41"/>
      <c r="M19" s="41"/>
      <c r="N19" s="41"/>
      <c r="O19" s="41"/>
      <c r="P19" s="41"/>
      <c r="Q19" s="41"/>
      <c r="R19" s="41"/>
    </row>
    <row r="20" spans="1:18" s="39" customFormat="1" ht="19.5" customHeight="1">
      <c r="A20" s="151"/>
      <c r="B20" s="152"/>
      <c r="C20" s="147"/>
      <c r="D20" s="147"/>
      <c r="E20" s="147"/>
      <c r="F20" s="147"/>
      <c r="G20" s="147"/>
      <c r="H20" s="147"/>
      <c r="I20" s="147"/>
      <c r="J20" s="147"/>
      <c r="K20" s="41"/>
      <c r="L20" s="41"/>
      <c r="M20" s="41"/>
      <c r="N20" s="41"/>
      <c r="O20" s="41"/>
      <c r="P20" s="41"/>
      <c r="Q20" s="41"/>
      <c r="R20" s="41"/>
    </row>
    <row r="21" spans="1:18" s="39" customFormat="1" ht="19.5" customHeight="1">
      <c r="A21" s="151"/>
      <c r="B21" s="152"/>
      <c r="C21" s="147"/>
      <c r="D21" s="147"/>
      <c r="E21" s="147"/>
      <c r="F21" s="147"/>
      <c r="G21" s="147"/>
      <c r="H21" s="147"/>
      <c r="I21" s="147"/>
      <c r="J21" s="147"/>
      <c r="K21" s="41"/>
      <c r="L21" s="41"/>
      <c r="M21" s="41"/>
      <c r="N21" s="41"/>
      <c r="O21" s="41"/>
      <c r="P21" s="41"/>
      <c r="Q21" s="41"/>
      <c r="R21" s="41"/>
    </row>
    <row r="22" spans="1:26" s="30" customFormat="1" ht="19.5" customHeight="1">
      <c r="A22" s="16"/>
      <c r="B22" s="148"/>
      <c r="C22" s="27"/>
      <c r="D22" s="28"/>
      <c r="E22" s="27"/>
      <c r="F22" s="27"/>
      <c r="G22" s="18"/>
      <c r="H22" s="18"/>
      <c r="I22" s="18"/>
      <c r="J22" s="27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30" customFormat="1" ht="19.5" customHeight="1">
      <c r="A23" s="16"/>
      <c r="B23" s="148"/>
      <c r="C23" s="27"/>
      <c r="D23" s="28"/>
      <c r="E23" s="27"/>
      <c r="F23" s="27"/>
      <c r="G23" s="18"/>
      <c r="H23" s="18"/>
      <c r="I23" s="18"/>
      <c r="J23" s="2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9.5" customHeight="1">
      <c r="A24" s="26"/>
      <c r="B24" s="27"/>
      <c r="C24" s="27"/>
      <c r="D24" s="28"/>
      <c r="E24" s="27"/>
      <c r="F24" s="27"/>
      <c r="G24" s="18"/>
      <c r="H24" s="18"/>
      <c r="I24" s="18"/>
      <c r="J24" s="2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="31" customFormat="1" ht="19.5" customHeight="1"/>
    <row r="26" spans="1:10" s="31" customFormat="1" ht="19.5" customHeight="1">
      <c r="A26" s="22" t="s">
        <v>0</v>
      </c>
      <c r="B26" s="48" t="s">
        <v>6</v>
      </c>
      <c r="C26" s="49" t="s">
        <v>7</v>
      </c>
      <c r="D26" s="49" t="s">
        <v>39</v>
      </c>
      <c r="E26" s="49" t="s">
        <v>8</v>
      </c>
      <c r="F26" s="49" t="s">
        <v>9</v>
      </c>
      <c r="G26" s="49" t="s">
        <v>10</v>
      </c>
      <c r="H26" s="49" t="s">
        <v>48</v>
      </c>
      <c r="I26" s="49" t="s">
        <v>40</v>
      </c>
      <c r="J26" s="49" t="s">
        <v>12</v>
      </c>
    </row>
    <row r="27" spans="1:18" s="39" customFormat="1" ht="19.5" customHeight="1">
      <c r="A27" s="52" t="s">
        <v>46</v>
      </c>
      <c r="B27" s="47">
        <f>SUM(B28:B33)</f>
        <v>90</v>
      </c>
      <c r="C27" s="43"/>
      <c r="D27" s="43"/>
      <c r="E27" s="43"/>
      <c r="F27" s="43"/>
      <c r="G27" s="43"/>
      <c r="H27" s="43"/>
      <c r="I27" s="43"/>
      <c r="J27" s="43"/>
      <c r="K27" s="41"/>
      <c r="L27" s="41"/>
      <c r="M27" s="41"/>
      <c r="N27" s="41"/>
      <c r="O27" s="41"/>
      <c r="P27" s="41"/>
      <c r="Q27" s="41"/>
      <c r="R27" s="41"/>
    </row>
    <row r="28" spans="1:26" s="29" customFormat="1" ht="19.5" customHeight="1">
      <c r="A28" s="157" t="s">
        <v>171</v>
      </c>
      <c r="B28" s="149">
        <v>90</v>
      </c>
      <c r="C28" s="158">
        <v>4643</v>
      </c>
      <c r="D28" s="158">
        <v>4</v>
      </c>
      <c r="E28" s="159"/>
      <c r="F28" s="159">
        <v>322</v>
      </c>
      <c r="G28" s="159">
        <v>4</v>
      </c>
      <c r="H28" s="159">
        <v>2307</v>
      </c>
      <c r="I28" s="159"/>
      <c r="J28" s="159">
        <v>9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10" ht="19.5" customHeight="1">
      <c r="A29" s="26"/>
      <c r="B29" s="17"/>
      <c r="C29" s="27"/>
      <c r="D29" s="28"/>
      <c r="E29" s="18"/>
      <c r="F29" s="18"/>
      <c r="G29" s="18"/>
      <c r="H29" s="18"/>
      <c r="I29" s="18"/>
      <c r="J29" s="18"/>
    </row>
    <row r="30" spans="1:10" ht="19.5" customHeight="1">
      <c r="A30" s="26"/>
      <c r="B30" s="17"/>
      <c r="C30" s="27"/>
      <c r="D30" s="28"/>
      <c r="E30" s="18"/>
      <c r="F30" s="18"/>
      <c r="G30" s="18"/>
      <c r="H30" s="18"/>
      <c r="I30" s="18"/>
      <c r="J30" s="18"/>
    </row>
    <row r="31" spans="1:10" ht="19.5" customHeight="1">
      <c r="A31" s="26"/>
      <c r="B31" s="17"/>
      <c r="C31" s="27"/>
      <c r="D31" s="28"/>
      <c r="E31" s="18"/>
      <c r="F31" s="18"/>
      <c r="G31" s="18"/>
      <c r="H31" s="18"/>
      <c r="I31" s="18"/>
      <c r="J31" s="18"/>
    </row>
    <row r="32" spans="1:10" ht="19.5" customHeight="1">
      <c r="A32" s="26"/>
      <c r="B32" s="17"/>
      <c r="C32" s="27"/>
      <c r="D32" s="28"/>
      <c r="E32" s="18"/>
      <c r="F32" s="18"/>
      <c r="G32" s="18"/>
      <c r="H32" s="18"/>
      <c r="I32" s="18"/>
      <c r="J32" s="18"/>
    </row>
    <row r="33" spans="1:10" ht="19.5" customHeight="1">
      <c r="A33" s="26"/>
      <c r="B33" s="17"/>
      <c r="C33" s="27"/>
      <c r="D33" s="28"/>
      <c r="E33" s="18"/>
      <c r="F33" s="18"/>
      <c r="G33" s="18"/>
      <c r="H33" s="18"/>
      <c r="I33" s="18"/>
      <c r="J33" s="18"/>
    </row>
    <row r="35" spans="1:2" s="39" customFormat="1" ht="19.5" customHeight="1">
      <c r="A35" s="50" t="s">
        <v>3</v>
      </c>
      <c r="B35" s="51">
        <f>B18+B27</f>
        <v>90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5">
      <selection activeCell="B17" sqref="B17"/>
    </sheetView>
  </sheetViews>
  <sheetFormatPr defaultColWidth="9.140625" defaultRowHeight="12.75"/>
  <cols>
    <col min="1" max="1" width="30.57421875" style="0" customWidth="1"/>
    <col min="2" max="3" width="9.28125" style="0" bestFit="1" customWidth="1"/>
    <col min="4" max="4" width="5.140625" style="0" bestFit="1" customWidth="1"/>
    <col min="6" max="6" width="6.421875" style="0" bestFit="1" customWidth="1"/>
    <col min="7" max="7" width="4.8515625" style="0" bestFit="1" customWidth="1"/>
    <col min="8" max="8" width="5.7109375" style="0" bestFit="1" customWidth="1"/>
    <col min="9" max="9" width="5.00390625" style="0" bestFit="1" customWidth="1"/>
    <col min="10" max="10" width="4.57421875" style="0" bestFit="1" customWidth="1"/>
  </cols>
  <sheetData>
    <row r="1" ht="18.75">
      <c r="A1" s="108"/>
    </row>
    <row r="4" spans="1:10" s="24" customFormat="1" ht="18">
      <c r="A4" s="22" t="s">
        <v>0</v>
      </c>
      <c r="B4" s="48" t="s">
        <v>6</v>
      </c>
      <c r="C4" s="49" t="s">
        <v>7</v>
      </c>
      <c r="D4" s="49" t="s">
        <v>39</v>
      </c>
      <c r="E4" s="49" t="s">
        <v>8</v>
      </c>
      <c r="F4" s="49" t="s">
        <v>9</v>
      </c>
      <c r="G4" s="49" t="s">
        <v>10</v>
      </c>
      <c r="H4" s="49" t="s">
        <v>48</v>
      </c>
      <c r="I4" s="49" t="s">
        <v>40</v>
      </c>
      <c r="J4" s="49" t="s">
        <v>12</v>
      </c>
    </row>
    <row r="5" spans="1:10" ht="19.5" customHeight="1">
      <c r="A5" s="127" t="s">
        <v>323</v>
      </c>
      <c r="B5" s="128">
        <v>50</v>
      </c>
      <c r="C5" s="129">
        <v>4641</v>
      </c>
      <c r="D5" s="130">
        <v>4</v>
      </c>
      <c r="E5" s="130"/>
      <c r="F5" s="130"/>
      <c r="G5" s="130"/>
      <c r="H5" s="130"/>
      <c r="I5" s="130"/>
      <c r="J5" s="130">
        <v>9</v>
      </c>
    </row>
    <row r="6" spans="1:10" ht="19.5" customHeight="1">
      <c r="A6" s="127" t="s">
        <v>327</v>
      </c>
      <c r="B6" s="94">
        <v>10</v>
      </c>
      <c r="C6" s="129">
        <v>4641</v>
      </c>
      <c r="D6" s="130">
        <v>4</v>
      </c>
      <c r="E6" s="130"/>
      <c r="F6" s="130"/>
      <c r="G6" s="130"/>
      <c r="H6" s="130"/>
      <c r="I6" s="130"/>
      <c r="J6" s="130">
        <v>9</v>
      </c>
    </row>
    <row r="7" spans="1:10" ht="19.5" customHeight="1">
      <c r="A7" s="127" t="s">
        <v>329</v>
      </c>
      <c r="B7" s="94">
        <v>100</v>
      </c>
      <c r="C7" s="129">
        <v>4641</v>
      </c>
      <c r="D7" s="130">
        <v>4</v>
      </c>
      <c r="E7" s="130"/>
      <c r="F7" s="130"/>
      <c r="G7" s="130"/>
      <c r="H7" s="130"/>
      <c r="I7" s="130"/>
      <c r="J7" s="130">
        <v>9</v>
      </c>
    </row>
    <row r="8" spans="1:10" ht="19.5" customHeight="1">
      <c r="A8" s="127" t="s">
        <v>330</v>
      </c>
      <c r="B8" s="94">
        <v>100</v>
      </c>
      <c r="C8" s="129">
        <v>4642</v>
      </c>
      <c r="D8" s="130">
        <v>4</v>
      </c>
      <c r="E8" s="130"/>
      <c r="F8" s="130"/>
      <c r="G8" s="130"/>
      <c r="H8" s="130"/>
      <c r="I8" s="130"/>
      <c r="J8" s="130"/>
    </row>
    <row r="9" spans="1:10" ht="19.5" customHeight="1">
      <c r="A9" s="127" t="s">
        <v>328</v>
      </c>
      <c r="B9" s="94">
        <v>400</v>
      </c>
      <c r="C9" s="129">
        <v>4643</v>
      </c>
      <c r="D9" s="130">
        <v>4</v>
      </c>
      <c r="E9" s="130"/>
      <c r="F9" s="130">
        <v>3222</v>
      </c>
      <c r="G9" s="130"/>
      <c r="H9" s="130"/>
      <c r="I9" s="130"/>
      <c r="J9" s="130">
        <v>9</v>
      </c>
    </row>
    <row r="10" spans="1:10" ht="19.5" customHeight="1">
      <c r="A10" s="131" t="s">
        <v>171</v>
      </c>
      <c r="B10" s="132">
        <v>10</v>
      </c>
      <c r="C10" s="131">
        <v>4643</v>
      </c>
      <c r="D10" s="131">
        <v>4</v>
      </c>
      <c r="E10" s="131"/>
      <c r="F10" s="131"/>
      <c r="G10" s="131"/>
      <c r="H10" s="131"/>
      <c r="I10" s="131"/>
      <c r="J10" s="130">
        <v>9</v>
      </c>
    </row>
    <row r="11" spans="1:10" ht="19.5" customHeight="1">
      <c r="A11" s="127" t="s">
        <v>326</v>
      </c>
      <c r="B11" s="128">
        <v>60</v>
      </c>
      <c r="C11" s="129">
        <v>4644</v>
      </c>
      <c r="D11" s="130">
        <v>4</v>
      </c>
      <c r="E11" s="130"/>
      <c r="F11" s="130">
        <v>3223</v>
      </c>
      <c r="G11" s="130"/>
      <c r="H11" s="130"/>
      <c r="I11" s="130"/>
      <c r="J11" s="130">
        <v>9</v>
      </c>
    </row>
    <row r="12" spans="1:10" ht="19.5" customHeight="1">
      <c r="A12" s="127" t="s">
        <v>324</v>
      </c>
      <c r="B12" s="128">
        <v>53</v>
      </c>
      <c r="C12" s="129">
        <v>4645</v>
      </c>
      <c r="D12" s="130">
        <v>4</v>
      </c>
      <c r="E12" s="130"/>
      <c r="F12" s="130">
        <v>3252</v>
      </c>
      <c r="G12" s="130"/>
      <c r="H12" s="130"/>
      <c r="I12" s="130"/>
      <c r="J12" s="130">
        <v>9</v>
      </c>
    </row>
    <row r="13" spans="1:10" ht="19.5" customHeight="1">
      <c r="A13" s="127" t="s">
        <v>325</v>
      </c>
      <c r="B13" s="94">
        <v>40</v>
      </c>
      <c r="C13" s="129">
        <v>4645</v>
      </c>
      <c r="D13" s="130">
        <v>4</v>
      </c>
      <c r="E13" s="130"/>
      <c r="F13" s="130">
        <v>325</v>
      </c>
      <c r="G13" s="130"/>
      <c r="H13" s="130"/>
      <c r="I13" s="130"/>
      <c r="J13" s="130">
        <v>9</v>
      </c>
    </row>
    <row r="14" spans="1:10" ht="19.5" customHeight="1">
      <c r="A14" s="127" t="s">
        <v>331</v>
      </c>
      <c r="B14" s="94">
        <v>35</v>
      </c>
      <c r="C14" s="129">
        <v>4641</v>
      </c>
      <c r="D14" s="130">
        <v>4</v>
      </c>
      <c r="E14" s="130"/>
      <c r="F14" s="130"/>
      <c r="G14" s="130"/>
      <c r="H14" s="130"/>
      <c r="I14" s="130"/>
      <c r="J14" s="130">
        <v>9</v>
      </c>
    </row>
    <row r="15" spans="1:10" s="153" customFormat="1" ht="19.5" customHeight="1">
      <c r="A15" s="131" t="s">
        <v>253</v>
      </c>
      <c r="B15" s="132">
        <v>115</v>
      </c>
      <c r="C15" s="131">
        <v>4641</v>
      </c>
      <c r="D15" s="131"/>
      <c r="E15" s="131"/>
      <c r="F15" s="131"/>
      <c r="G15" s="131"/>
      <c r="H15" s="131"/>
      <c r="I15" s="131"/>
      <c r="J15" s="131"/>
    </row>
    <row r="16" spans="1:10" ht="19.5" customHeight="1">
      <c r="A16" s="127" t="s">
        <v>350</v>
      </c>
      <c r="B16" s="94">
        <v>10</v>
      </c>
      <c r="C16" s="129"/>
      <c r="D16" s="130"/>
      <c r="E16" s="130"/>
      <c r="F16" s="130"/>
      <c r="G16" s="130"/>
      <c r="H16" s="130"/>
      <c r="I16" s="130"/>
      <c r="J16" s="130"/>
    </row>
    <row r="17" spans="1:2" ht="19.5" customHeight="1">
      <c r="A17" s="125" t="s">
        <v>124</v>
      </c>
      <c r="B17" s="126">
        <f>SUM(B5:B16)</f>
        <v>983</v>
      </c>
    </row>
  </sheetData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B13">
      <selection activeCell="C26" sqref="C26"/>
    </sheetView>
  </sheetViews>
  <sheetFormatPr defaultColWidth="9.140625" defaultRowHeight="12.75" outlineLevelRow="2"/>
  <cols>
    <col min="1" max="1" width="14.8515625" style="61" customWidth="1"/>
    <col min="2" max="2" width="14.57421875" style="54" bestFit="1" customWidth="1"/>
    <col min="3" max="3" width="6.28125" style="54" customWidth="1"/>
    <col min="4" max="4" width="4.421875" style="97" bestFit="1" customWidth="1"/>
    <col min="5" max="5" width="6.421875" style="54" customWidth="1"/>
    <col min="6" max="6" width="6.57421875" style="54" customWidth="1"/>
    <col min="7" max="7" width="7.421875" style="54" bestFit="1" customWidth="1"/>
    <col min="8" max="8" width="5.421875" style="54" bestFit="1" customWidth="1"/>
    <col min="9" max="9" width="7.421875" style="54" bestFit="1" customWidth="1"/>
    <col min="10" max="10" width="4.421875" style="67" bestFit="1" customWidth="1"/>
    <col min="11" max="11" width="7.8515625" style="54" bestFit="1" customWidth="1"/>
    <col min="12" max="12" width="8.28125" style="54" bestFit="1" customWidth="1"/>
    <col min="13" max="13" width="7.8515625" style="54" bestFit="1" customWidth="1"/>
    <col min="14" max="16384" width="10.28125" style="77" customWidth="1"/>
  </cols>
  <sheetData>
    <row r="1" ht="18.75">
      <c r="A1" s="53" t="s">
        <v>67</v>
      </c>
    </row>
    <row r="2" ht="15.75">
      <c r="L2" s="66"/>
    </row>
    <row r="3" spans="4:256" s="55" customFormat="1" ht="15.75">
      <c r="D3" s="98"/>
      <c r="F3" s="70">
        <v>0.03</v>
      </c>
      <c r="G3" s="71">
        <v>12</v>
      </c>
      <c r="H3" s="70">
        <v>0.0113</v>
      </c>
      <c r="I3" s="70" t="s">
        <v>124</v>
      </c>
      <c r="J3" s="72"/>
      <c r="K3" s="70"/>
      <c r="L3" s="70">
        <v>0.3957</v>
      </c>
      <c r="M3" s="70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58" customFormat="1" ht="26.25" customHeight="1">
      <c r="A4" s="56"/>
      <c r="B4" s="56" t="s">
        <v>68</v>
      </c>
      <c r="C4" s="91">
        <v>1</v>
      </c>
      <c r="D4" s="75" t="s">
        <v>184</v>
      </c>
      <c r="E4" s="74" t="s">
        <v>142</v>
      </c>
      <c r="F4" s="74" t="s">
        <v>134</v>
      </c>
      <c r="G4" s="74" t="s">
        <v>69</v>
      </c>
      <c r="H4" s="74" t="s">
        <v>135</v>
      </c>
      <c r="I4" s="74" t="s">
        <v>125</v>
      </c>
      <c r="J4" s="75" t="s">
        <v>146</v>
      </c>
      <c r="K4" s="74" t="s">
        <v>124</v>
      </c>
      <c r="L4" s="74" t="s">
        <v>70</v>
      </c>
      <c r="M4" s="74" t="s">
        <v>71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s="57" customFormat="1" ht="8.25" customHeight="1">
      <c r="A5" s="107"/>
      <c r="M5" s="105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s="57" customFormat="1" ht="18" customHeight="1">
      <c r="A6" s="80" t="s">
        <v>52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06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s="59" customFormat="1" ht="12.75" outlineLevel="2">
      <c r="A7" s="60" t="s">
        <v>72</v>
      </c>
      <c r="B7" s="96" t="s">
        <v>73</v>
      </c>
      <c r="C7" s="60">
        <v>28550</v>
      </c>
      <c r="D7" s="68">
        <v>1</v>
      </c>
      <c r="E7" s="60">
        <f>C7*D7</f>
        <v>28550</v>
      </c>
      <c r="F7" s="60">
        <f>(E7*$F$3)+E7</f>
        <v>29406.5</v>
      </c>
      <c r="G7" s="60">
        <f>F7*$G$3</f>
        <v>352878</v>
      </c>
      <c r="H7" s="60">
        <f>G7*$H$3</f>
        <v>3987.5213999999996</v>
      </c>
      <c r="I7" s="60">
        <f>SUM(G7:H7)</f>
        <v>356865.5214</v>
      </c>
      <c r="J7" s="68">
        <v>1</v>
      </c>
      <c r="K7" s="60">
        <f>I7*J7</f>
        <v>356865.5214</v>
      </c>
      <c r="L7" s="60">
        <f>K7*$L$3</f>
        <v>141211.68681798002</v>
      </c>
      <c r="M7" s="60">
        <f>SUM(K7:L7)</f>
        <v>498077.20821798005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s="59" customFormat="1" ht="12.75" outlineLevel="2">
      <c r="A8" s="60" t="s">
        <v>74</v>
      </c>
      <c r="B8" s="96" t="s">
        <v>75</v>
      </c>
      <c r="C8" s="60">
        <v>16870</v>
      </c>
      <c r="D8" s="68">
        <v>1</v>
      </c>
      <c r="E8" s="60">
        <f>C8*D8</f>
        <v>16870</v>
      </c>
      <c r="F8" s="60">
        <f>(E8*$F$3)+E8</f>
        <v>17376.1</v>
      </c>
      <c r="G8" s="60">
        <f>F8*$G$3</f>
        <v>208513.19999999998</v>
      </c>
      <c r="H8" s="60">
        <f>G8*$H$3</f>
        <v>2356.1991599999997</v>
      </c>
      <c r="I8" s="60">
        <f>SUM(G8:H8)</f>
        <v>210869.39915999997</v>
      </c>
      <c r="J8" s="68">
        <v>1</v>
      </c>
      <c r="K8" s="60">
        <f>I8*J8</f>
        <v>210869.39915999997</v>
      </c>
      <c r="L8" s="60">
        <f>K8*$L$3</f>
        <v>83441.02124761199</v>
      </c>
      <c r="M8" s="60">
        <f>SUM(K8:L8)</f>
        <v>294310.420407612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s="59" customFormat="1" ht="12.75" outlineLevel="2">
      <c r="A9" s="60" t="s">
        <v>81</v>
      </c>
      <c r="B9" s="96" t="s">
        <v>287</v>
      </c>
      <c r="C9" s="60">
        <v>18500</v>
      </c>
      <c r="D9" s="68">
        <v>1</v>
      </c>
      <c r="E9" s="60">
        <f>C9*D9</f>
        <v>18500</v>
      </c>
      <c r="F9" s="60">
        <f>(E9*$F$3)+E9</f>
        <v>19055</v>
      </c>
      <c r="G9" s="60">
        <f>F9*$G$3</f>
        <v>228660</v>
      </c>
      <c r="H9" s="60">
        <f>G9*$H$3</f>
        <v>2583.8579999999997</v>
      </c>
      <c r="I9" s="60">
        <f>SUM(G9:H9)</f>
        <v>231243.858</v>
      </c>
      <c r="J9" s="68">
        <v>1</v>
      </c>
      <c r="K9" s="60">
        <f>I9*J9</f>
        <v>231243.858</v>
      </c>
      <c r="L9" s="60">
        <f>K9*$L$3</f>
        <v>91503.1946106</v>
      </c>
      <c r="M9" s="60">
        <f>SUM(K9:L9)</f>
        <v>322747.0526106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s="59" customFormat="1" ht="12.75" outlineLevel="2">
      <c r="A10" s="60" t="s">
        <v>82</v>
      </c>
      <c r="B10" s="96" t="s">
        <v>83</v>
      </c>
      <c r="C10" s="60">
        <v>17170</v>
      </c>
      <c r="D10" s="68">
        <v>1</v>
      </c>
      <c r="E10" s="60">
        <f>C10*D10</f>
        <v>17170</v>
      </c>
      <c r="F10" s="60">
        <f>(E10*$F$3)+E10</f>
        <v>17685.1</v>
      </c>
      <c r="G10" s="60">
        <f>F10*$G$3</f>
        <v>212221.19999999998</v>
      </c>
      <c r="H10" s="60">
        <f>G10*$H$3</f>
        <v>2398.0995599999997</v>
      </c>
      <c r="I10" s="60">
        <f>SUM(G10:H10)</f>
        <v>214619.29955999998</v>
      </c>
      <c r="J10" s="68">
        <v>1</v>
      </c>
      <c r="K10" s="60">
        <f>I10*J10</f>
        <v>214619.29955999998</v>
      </c>
      <c r="L10" s="60">
        <f>K10*$L$3</f>
        <v>84924.85683589199</v>
      </c>
      <c r="M10" s="60">
        <f>SUM(K10:L10)</f>
        <v>299544.156395892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s="79" customFormat="1" ht="12.75" outlineLevel="2">
      <c r="A11" s="78" t="s">
        <v>124</v>
      </c>
      <c r="B11" s="96"/>
      <c r="C11" s="96"/>
      <c r="D11" s="68"/>
      <c r="E11" s="96"/>
      <c r="F11" s="96"/>
      <c r="G11" s="96"/>
      <c r="H11" s="96"/>
      <c r="I11" s="96"/>
      <c r="J11" s="100"/>
      <c r="K11" s="78">
        <f>SUM(K7:K10)</f>
        <v>1013598.07812</v>
      </c>
      <c r="L11" s="78">
        <f>SUM(L7:L10)</f>
        <v>401080.75951208395</v>
      </c>
      <c r="M11" s="81">
        <f>SUM(M7:M10)</f>
        <v>1414678.837632084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s="57" customFormat="1" ht="8.25" customHeight="1">
      <c r="A12" s="107"/>
      <c r="M12" s="105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s="57" customFormat="1" ht="18" customHeight="1">
      <c r="A13" s="80" t="s">
        <v>126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106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s="59" customFormat="1" ht="12.75" outlineLevel="2">
      <c r="A14" s="60" t="s">
        <v>76</v>
      </c>
      <c r="B14" s="96" t="s">
        <v>77</v>
      </c>
      <c r="C14" s="60">
        <v>20775</v>
      </c>
      <c r="D14" s="68">
        <v>1</v>
      </c>
      <c r="E14" s="60">
        <f>C14*D14</f>
        <v>20775</v>
      </c>
      <c r="F14" s="60">
        <f>(E14*$F$3)+E14</f>
        <v>21398.25</v>
      </c>
      <c r="G14" s="60">
        <f>F14*$G$3</f>
        <v>256779</v>
      </c>
      <c r="H14" s="60">
        <f>G14*$H$3</f>
        <v>2901.6027</v>
      </c>
      <c r="I14" s="60">
        <f>SUM(G14:H14)</f>
        <v>259680.6027</v>
      </c>
      <c r="J14" s="68">
        <v>0.5</v>
      </c>
      <c r="K14" s="60">
        <f>I14*J14</f>
        <v>129840.30135</v>
      </c>
      <c r="L14" s="60">
        <f>K14*$L$3</f>
        <v>51377.807244195</v>
      </c>
      <c r="M14" s="60">
        <f>SUM(K14:L14)</f>
        <v>181218.108594195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s="59" customFormat="1" ht="15" customHeight="1" outlineLevel="2">
      <c r="A15" s="60" t="s">
        <v>132</v>
      </c>
      <c r="B15" s="96" t="s">
        <v>78</v>
      </c>
      <c r="C15" s="60">
        <v>21700</v>
      </c>
      <c r="D15" s="68">
        <v>1</v>
      </c>
      <c r="E15" s="60">
        <f>C15*D15</f>
        <v>21700</v>
      </c>
      <c r="F15" s="60">
        <f>(E15*$F$3)+E15</f>
        <v>22351</v>
      </c>
      <c r="G15" s="60">
        <f>F15*$G$3</f>
        <v>268212</v>
      </c>
      <c r="H15" s="60">
        <f>G15*$H$3</f>
        <v>3030.7956</v>
      </c>
      <c r="I15" s="60">
        <f>SUM(G15:H15)</f>
        <v>271242.7956</v>
      </c>
      <c r="J15" s="68">
        <v>1</v>
      </c>
      <c r="K15" s="60">
        <f>I15*J15</f>
        <v>271242.7956</v>
      </c>
      <c r="L15" s="60">
        <f>K15*$L$3</f>
        <v>107330.77421892</v>
      </c>
      <c r="M15" s="60">
        <f>SUM(K15:L15)</f>
        <v>378573.56981892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s="79" customFormat="1" ht="15" customHeight="1" outlineLevel="2">
      <c r="A16" s="78" t="s">
        <v>124</v>
      </c>
      <c r="B16" s="96"/>
      <c r="C16" s="96"/>
      <c r="D16" s="68"/>
      <c r="E16" s="96"/>
      <c r="F16" s="96"/>
      <c r="G16" s="96"/>
      <c r="H16" s="96"/>
      <c r="I16" s="96"/>
      <c r="J16" s="100"/>
      <c r="K16" s="78">
        <f>SUM(K14:K15)</f>
        <v>401083.09695000004</v>
      </c>
      <c r="L16" s="78">
        <f>SUM(L14:L15)</f>
        <v>158708.581463115</v>
      </c>
      <c r="M16" s="78">
        <f>SUM(M14:M15)</f>
        <v>559791.678413115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s="57" customFormat="1" ht="8.25" customHeight="1">
      <c r="A17" s="107"/>
      <c r="M17" s="105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s="57" customFormat="1" ht="18" customHeight="1">
      <c r="A18" s="80" t="s">
        <v>201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10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s="59" customFormat="1" ht="12.75" outlineLevel="2">
      <c r="A19" s="60" t="s">
        <v>76</v>
      </c>
      <c r="B19" s="96" t="s">
        <v>77</v>
      </c>
      <c r="C19" s="60">
        <v>20775</v>
      </c>
      <c r="D19" s="68">
        <v>1</v>
      </c>
      <c r="E19" s="60">
        <f aca="true" t="shared" si="0" ref="E19:E25">C19*D19</f>
        <v>20775</v>
      </c>
      <c r="F19" s="60">
        <f aca="true" t="shared" si="1" ref="F19:F25">(E19*$F$3)+E19</f>
        <v>21398.25</v>
      </c>
      <c r="G19" s="60">
        <f aca="true" t="shared" si="2" ref="G19:G25">F19*$G$3</f>
        <v>256779</v>
      </c>
      <c r="H19" s="60">
        <f aca="true" t="shared" si="3" ref="H19:H25">G19*$H$3</f>
        <v>2901.6027</v>
      </c>
      <c r="I19" s="60">
        <f aca="true" t="shared" si="4" ref="I19:I25">SUM(G19:H19)</f>
        <v>259680.6027</v>
      </c>
      <c r="J19" s="68">
        <v>0.5</v>
      </c>
      <c r="K19" s="60">
        <f aca="true" t="shared" si="5" ref="K19:K25">I19*J19</f>
        <v>129840.30135</v>
      </c>
      <c r="L19" s="60">
        <f aca="true" t="shared" si="6" ref="L19:L25">K19*$L$3</f>
        <v>51377.807244195</v>
      </c>
      <c r="M19" s="60">
        <f aca="true" t="shared" si="7" ref="M19:M25">SUM(K19:L19)</f>
        <v>181218.108594195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s="57" customFormat="1" ht="12.75" outlineLevel="2">
      <c r="A20" s="60" t="s">
        <v>90</v>
      </c>
      <c r="B20" s="96" t="s">
        <v>91</v>
      </c>
      <c r="C20" s="60">
        <v>19776</v>
      </c>
      <c r="D20" s="68">
        <v>1</v>
      </c>
      <c r="E20" s="60">
        <f t="shared" si="0"/>
        <v>19776</v>
      </c>
      <c r="F20" s="60">
        <f t="shared" si="1"/>
        <v>20369.28</v>
      </c>
      <c r="G20" s="60">
        <f t="shared" si="2"/>
        <v>244431.36</v>
      </c>
      <c r="H20" s="60">
        <f t="shared" si="3"/>
        <v>2762.0743679999996</v>
      </c>
      <c r="I20" s="60">
        <f t="shared" si="4"/>
        <v>247193.434368</v>
      </c>
      <c r="J20" s="68">
        <v>0.63</v>
      </c>
      <c r="K20" s="60">
        <f t="shared" si="5"/>
        <v>155731.86365184</v>
      </c>
      <c r="L20" s="60">
        <f t="shared" si="6"/>
        <v>61623.09844703308</v>
      </c>
      <c r="M20" s="60">
        <f t="shared" si="7"/>
        <v>217354.96209887307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s="60" customFormat="1" ht="12.75">
      <c r="A21" s="60" t="s">
        <v>90</v>
      </c>
      <c r="B21" s="96" t="s">
        <v>92</v>
      </c>
      <c r="C21" s="60">
        <v>19777</v>
      </c>
      <c r="D21" s="68">
        <v>1</v>
      </c>
      <c r="E21" s="60">
        <f t="shared" si="0"/>
        <v>19777</v>
      </c>
      <c r="F21" s="60">
        <f t="shared" si="1"/>
        <v>20370.31</v>
      </c>
      <c r="G21" s="60">
        <f t="shared" si="2"/>
        <v>244443.72000000003</v>
      </c>
      <c r="H21" s="60">
        <f t="shared" si="3"/>
        <v>2762.2140360000003</v>
      </c>
      <c r="I21" s="60">
        <f t="shared" si="4"/>
        <v>247205.93403600002</v>
      </c>
      <c r="J21" s="68">
        <v>0.63</v>
      </c>
      <c r="K21" s="60">
        <f t="shared" si="5"/>
        <v>155739.73844268</v>
      </c>
      <c r="L21" s="60">
        <f t="shared" si="6"/>
        <v>61626.21450176848</v>
      </c>
      <c r="M21" s="60">
        <f t="shared" si="7"/>
        <v>217365.9529444485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s="60" customFormat="1" ht="12.75">
      <c r="A22" s="60" t="s">
        <v>93</v>
      </c>
      <c r="B22" s="96" t="s">
        <v>310</v>
      </c>
      <c r="C22" s="60">
        <v>16500</v>
      </c>
      <c r="D22" s="68">
        <v>0.5</v>
      </c>
      <c r="E22" s="60">
        <f t="shared" si="0"/>
        <v>8250</v>
      </c>
      <c r="F22" s="60">
        <f t="shared" si="1"/>
        <v>8497.5</v>
      </c>
      <c r="G22" s="60">
        <f t="shared" si="2"/>
        <v>101970</v>
      </c>
      <c r="H22" s="60">
        <f t="shared" si="3"/>
        <v>1152.261</v>
      </c>
      <c r="I22" s="60">
        <f t="shared" si="4"/>
        <v>103122.261</v>
      </c>
      <c r="J22" s="68">
        <v>1</v>
      </c>
      <c r="K22" s="60">
        <f t="shared" si="5"/>
        <v>103122.261</v>
      </c>
      <c r="L22" s="60">
        <f t="shared" si="6"/>
        <v>40805.4786777</v>
      </c>
      <c r="M22" s="60">
        <f t="shared" si="7"/>
        <v>143927.73967769998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s="57" customFormat="1" ht="12.75">
      <c r="A23" s="60" t="s">
        <v>90</v>
      </c>
      <c r="B23" s="96" t="s">
        <v>288</v>
      </c>
      <c r="C23" s="60">
        <v>19776</v>
      </c>
      <c r="D23" s="68">
        <v>0.54</v>
      </c>
      <c r="E23" s="60">
        <f t="shared" si="0"/>
        <v>10679.04</v>
      </c>
      <c r="F23" s="60">
        <f t="shared" si="1"/>
        <v>10999.4112</v>
      </c>
      <c r="G23" s="60">
        <f t="shared" si="2"/>
        <v>131992.9344</v>
      </c>
      <c r="H23" s="60">
        <f t="shared" si="3"/>
        <v>1491.52015872</v>
      </c>
      <c r="I23" s="60">
        <f t="shared" si="4"/>
        <v>133484.45455872</v>
      </c>
      <c r="J23" s="68">
        <v>1</v>
      </c>
      <c r="K23" s="60">
        <f t="shared" si="5"/>
        <v>133484.45455872</v>
      </c>
      <c r="L23" s="60">
        <f t="shared" si="6"/>
        <v>52819.7986688855</v>
      </c>
      <c r="M23" s="60">
        <f t="shared" si="7"/>
        <v>186304.25322760548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s="57" customFormat="1" ht="12.75">
      <c r="A24" s="60" t="s">
        <v>174</v>
      </c>
      <c r="B24" s="96" t="s">
        <v>289</v>
      </c>
      <c r="C24" s="60">
        <v>5775</v>
      </c>
      <c r="D24" s="68">
        <v>1</v>
      </c>
      <c r="E24" s="60">
        <f t="shared" si="0"/>
        <v>5775</v>
      </c>
      <c r="F24" s="60">
        <f t="shared" si="1"/>
        <v>5948.25</v>
      </c>
      <c r="G24" s="60">
        <f t="shared" si="2"/>
        <v>71379</v>
      </c>
      <c r="H24" s="60">
        <f t="shared" si="3"/>
        <v>806.5826999999999</v>
      </c>
      <c r="I24" s="60">
        <f t="shared" si="4"/>
        <v>72185.5827</v>
      </c>
      <c r="J24" s="68">
        <v>1</v>
      </c>
      <c r="K24" s="60">
        <f t="shared" si="5"/>
        <v>72185.5827</v>
      </c>
      <c r="L24" s="60">
        <f t="shared" si="6"/>
        <v>28563.83507439</v>
      </c>
      <c r="M24" s="60">
        <f t="shared" si="7"/>
        <v>100749.41777438999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  <row r="25" spans="1:256" s="57" customFormat="1" ht="12.75">
      <c r="A25" s="60" t="s">
        <v>191</v>
      </c>
      <c r="B25" s="96" t="s">
        <v>11</v>
      </c>
      <c r="C25" s="60">
        <f>SUM(180*2.5*36/12)</f>
        <v>1350</v>
      </c>
      <c r="D25" s="68">
        <v>1</v>
      </c>
      <c r="E25" s="60">
        <f t="shared" si="0"/>
        <v>1350</v>
      </c>
      <c r="F25" s="60">
        <f t="shared" si="1"/>
        <v>1390.5</v>
      </c>
      <c r="G25" s="60">
        <f t="shared" si="2"/>
        <v>16686</v>
      </c>
      <c r="H25" s="60">
        <f t="shared" si="3"/>
        <v>188.5518</v>
      </c>
      <c r="I25" s="60">
        <f t="shared" si="4"/>
        <v>16874.5518</v>
      </c>
      <c r="J25" s="68">
        <v>1</v>
      </c>
      <c r="K25" s="60">
        <f t="shared" si="5"/>
        <v>16874.5518</v>
      </c>
      <c r="L25" s="60">
        <f t="shared" si="6"/>
        <v>6677.26014726</v>
      </c>
      <c r="M25" s="60">
        <f t="shared" si="7"/>
        <v>23551.81194726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  <row r="26" spans="1:13" ht="12.75">
      <c r="A26" s="78" t="s">
        <v>124</v>
      </c>
      <c r="B26" s="96"/>
      <c r="C26" s="96"/>
      <c r="D26" s="68"/>
      <c r="E26" s="96"/>
      <c r="F26" s="96"/>
      <c r="G26" s="96"/>
      <c r="H26" s="96"/>
      <c r="I26" s="96"/>
      <c r="J26" s="96"/>
      <c r="K26" s="78">
        <f>SUM(K19:K25)</f>
        <v>766978.75350324</v>
      </c>
      <c r="L26" s="78">
        <f>SUM(L19:L25)</f>
        <v>303493.492761232</v>
      </c>
      <c r="M26" s="78">
        <f>SUM(M19:M25)</f>
        <v>1070472.2462644721</v>
      </c>
    </row>
    <row r="27" spans="1:256" s="57" customFormat="1" ht="8.25" customHeight="1">
      <c r="A27" s="107"/>
      <c r="M27" s="105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s="57" customFormat="1" ht="18" customHeight="1">
      <c r="A28" s="80" t="s">
        <v>128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10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s="57" customFormat="1" ht="12.75" outlineLevel="2">
      <c r="A29" s="60" t="s">
        <v>90</v>
      </c>
      <c r="B29" s="96" t="s">
        <v>91</v>
      </c>
      <c r="C29" s="60">
        <v>19776</v>
      </c>
      <c r="D29" s="68">
        <v>1</v>
      </c>
      <c r="E29" s="60">
        <f aca="true" t="shared" si="8" ref="E29:E37">C29*D29</f>
        <v>19776</v>
      </c>
      <c r="F29" s="60">
        <f aca="true" t="shared" si="9" ref="F29:F38">(E29*$F$3)+E29</f>
        <v>20369.28</v>
      </c>
      <c r="G29" s="60">
        <f aca="true" t="shared" si="10" ref="G29:G38">F29*$G$3</f>
        <v>244431.36</v>
      </c>
      <c r="H29" s="60">
        <f aca="true" t="shared" si="11" ref="H29:H38">G29*$H$3</f>
        <v>2762.0743679999996</v>
      </c>
      <c r="I29" s="60">
        <f aca="true" t="shared" si="12" ref="I29:I37">SUM(G29:H29)</f>
        <v>247193.434368</v>
      </c>
      <c r="J29" s="68">
        <v>0.37</v>
      </c>
      <c r="K29" s="60">
        <f aca="true" t="shared" si="13" ref="K29:K37">I29*J29</f>
        <v>91461.57071616</v>
      </c>
      <c r="L29" s="60">
        <f aca="true" t="shared" si="14" ref="L29:L38">K29*$L$3</f>
        <v>36191.34353238451</v>
      </c>
      <c r="M29" s="60">
        <f aca="true" t="shared" si="15" ref="M29:M37">SUM(K29:L29)</f>
        <v>127652.91424854452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s="60" customFormat="1" ht="12.75">
      <c r="A30" s="60" t="s">
        <v>90</v>
      </c>
      <c r="B30" s="96" t="s">
        <v>92</v>
      </c>
      <c r="C30" s="60">
        <v>19777</v>
      </c>
      <c r="D30" s="68">
        <v>1</v>
      </c>
      <c r="E30" s="60">
        <f t="shared" si="8"/>
        <v>19777</v>
      </c>
      <c r="F30" s="60">
        <f t="shared" si="9"/>
        <v>20370.31</v>
      </c>
      <c r="G30" s="60">
        <f t="shared" si="10"/>
        <v>244443.72000000003</v>
      </c>
      <c r="H30" s="60">
        <f t="shared" si="11"/>
        <v>2762.2140360000003</v>
      </c>
      <c r="I30" s="60">
        <f t="shared" si="12"/>
        <v>247205.93403600002</v>
      </c>
      <c r="J30" s="68">
        <v>0.37</v>
      </c>
      <c r="K30" s="60">
        <f t="shared" si="13"/>
        <v>91466.19559332001</v>
      </c>
      <c r="L30" s="60">
        <f t="shared" si="14"/>
        <v>36193.17359627673</v>
      </c>
      <c r="M30" s="60">
        <f t="shared" si="15"/>
        <v>127659.36918959673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s="59" customFormat="1" ht="12.75" outlineLevel="2">
      <c r="A31" s="60" t="s">
        <v>127</v>
      </c>
      <c r="B31" s="96" t="s">
        <v>88</v>
      </c>
      <c r="C31" s="60">
        <v>19777</v>
      </c>
      <c r="D31" s="68">
        <v>0.5</v>
      </c>
      <c r="E31" s="60">
        <f t="shared" si="8"/>
        <v>9888.5</v>
      </c>
      <c r="F31" s="60">
        <f t="shared" si="9"/>
        <v>10185.155</v>
      </c>
      <c r="G31" s="60">
        <f t="shared" si="10"/>
        <v>122221.86000000002</v>
      </c>
      <c r="H31" s="60">
        <f t="shared" si="11"/>
        <v>1381.1070180000002</v>
      </c>
      <c r="I31" s="60">
        <f t="shared" si="12"/>
        <v>123602.96701800001</v>
      </c>
      <c r="J31" s="68">
        <v>1</v>
      </c>
      <c r="K31" s="60">
        <f t="shared" si="13"/>
        <v>123602.96701800001</v>
      </c>
      <c r="L31" s="60">
        <f t="shared" si="14"/>
        <v>48909.694049022604</v>
      </c>
      <c r="M31" s="60">
        <f t="shared" si="15"/>
        <v>172512.66106702262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256" s="59" customFormat="1" ht="12.75" outlineLevel="2">
      <c r="A32" s="60" t="s">
        <v>86</v>
      </c>
      <c r="B32" s="96" t="s">
        <v>87</v>
      </c>
      <c r="C32" s="60">
        <v>19772</v>
      </c>
      <c r="D32" s="68">
        <v>0.75</v>
      </c>
      <c r="E32" s="60">
        <f t="shared" si="8"/>
        <v>14829</v>
      </c>
      <c r="F32" s="60">
        <f t="shared" si="9"/>
        <v>15273.87</v>
      </c>
      <c r="G32" s="60">
        <f t="shared" si="10"/>
        <v>183286.44</v>
      </c>
      <c r="H32" s="60">
        <f t="shared" si="11"/>
        <v>2071.136772</v>
      </c>
      <c r="I32" s="60">
        <f t="shared" si="12"/>
        <v>185357.576772</v>
      </c>
      <c r="J32" s="68">
        <v>1</v>
      </c>
      <c r="K32" s="60">
        <f t="shared" si="13"/>
        <v>185357.576772</v>
      </c>
      <c r="L32" s="60">
        <f t="shared" si="14"/>
        <v>73345.9931286804</v>
      </c>
      <c r="M32" s="60">
        <f t="shared" si="15"/>
        <v>258703.5699006804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</row>
    <row r="33" spans="1:256" s="59" customFormat="1" ht="12.75" outlineLevel="2">
      <c r="A33" s="60" t="s">
        <v>89</v>
      </c>
      <c r="B33" s="96" t="s">
        <v>133</v>
      </c>
      <c r="C33" s="60">
        <v>19772</v>
      </c>
      <c r="D33" s="68">
        <v>0.75</v>
      </c>
      <c r="E33" s="60">
        <f t="shared" si="8"/>
        <v>14829</v>
      </c>
      <c r="F33" s="60">
        <f t="shared" si="9"/>
        <v>15273.87</v>
      </c>
      <c r="G33" s="60">
        <f t="shared" si="10"/>
        <v>183286.44</v>
      </c>
      <c r="H33" s="60">
        <f t="shared" si="11"/>
        <v>2071.136772</v>
      </c>
      <c r="I33" s="60">
        <f t="shared" si="12"/>
        <v>185357.576772</v>
      </c>
      <c r="J33" s="68">
        <v>1</v>
      </c>
      <c r="K33" s="60">
        <f t="shared" si="13"/>
        <v>185357.576772</v>
      </c>
      <c r="L33" s="60">
        <f t="shared" si="14"/>
        <v>73345.9931286804</v>
      </c>
      <c r="M33" s="60">
        <f t="shared" si="15"/>
        <v>258703.5699006804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</row>
    <row r="34" spans="1:256" s="62" customFormat="1" ht="12.75">
      <c r="A34" s="60" t="s">
        <v>94</v>
      </c>
      <c r="B34" s="96" t="s">
        <v>11</v>
      </c>
      <c r="C34" s="60">
        <v>4291</v>
      </c>
      <c r="D34" s="68">
        <v>1</v>
      </c>
      <c r="E34" s="60">
        <f t="shared" si="8"/>
        <v>4291</v>
      </c>
      <c r="F34" s="60">
        <f t="shared" si="9"/>
        <v>4419.73</v>
      </c>
      <c r="G34" s="60">
        <f t="shared" si="10"/>
        <v>53036.759999999995</v>
      </c>
      <c r="H34" s="60">
        <f t="shared" si="11"/>
        <v>599.3153879999999</v>
      </c>
      <c r="I34" s="60">
        <f t="shared" si="12"/>
        <v>53636.075388</v>
      </c>
      <c r="J34" s="68">
        <v>1</v>
      </c>
      <c r="K34" s="60">
        <f t="shared" si="13"/>
        <v>53636.075388</v>
      </c>
      <c r="L34" s="60">
        <f t="shared" si="14"/>
        <v>21223.795031031597</v>
      </c>
      <c r="M34" s="60">
        <f t="shared" si="15"/>
        <v>74859.87041903159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</row>
    <row r="35" spans="1:256" s="57" customFormat="1" ht="12.75">
      <c r="A35" s="60" t="s">
        <v>95</v>
      </c>
      <c r="B35" s="96" t="s">
        <v>11</v>
      </c>
      <c r="C35" s="60">
        <v>5665</v>
      </c>
      <c r="D35" s="68">
        <v>1</v>
      </c>
      <c r="E35" s="60">
        <f t="shared" si="8"/>
        <v>5665</v>
      </c>
      <c r="F35" s="60">
        <f t="shared" si="9"/>
        <v>5834.95</v>
      </c>
      <c r="G35" s="60">
        <f t="shared" si="10"/>
        <v>70019.4</v>
      </c>
      <c r="H35" s="60">
        <f t="shared" si="11"/>
        <v>791.2192199999998</v>
      </c>
      <c r="I35" s="60">
        <f t="shared" si="12"/>
        <v>70810.61922</v>
      </c>
      <c r="J35" s="68">
        <v>1</v>
      </c>
      <c r="K35" s="60">
        <f t="shared" si="13"/>
        <v>70810.61922</v>
      </c>
      <c r="L35" s="60">
        <f t="shared" si="14"/>
        <v>28019.762025353997</v>
      </c>
      <c r="M35" s="60">
        <f t="shared" si="15"/>
        <v>98830.38124535399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256" s="57" customFormat="1" ht="12.75">
      <c r="A36" s="60" t="s">
        <v>186</v>
      </c>
      <c r="B36" s="96" t="s">
        <v>11</v>
      </c>
      <c r="C36" s="60">
        <v>2000</v>
      </c>
      <c r="D36" s="68">
        <v>1</v>
      </c>
      <c r="E36" s="60">
        <f t="shared" si="8"/>
        <v>2000</v>
      </c>
      <c r="F36" s="60">
        <f t="shared" si="9"/>
        <v>2060</v>
      </c>
      <c r="G36" s="60">
        <f t="shared" si="10"/>
        <v>24720</v>
      </c>
      <c r="H36" s="60">
        <f t="shared" si="11"/>
        <v>279.33599999999996</v>
      </c>
      <c r="I36" s="60">
        <f t="shared" si="12"/>
        <v>24999.336</v>
      </c>
      <c r="J36" s="68">
        <v>1</v>
      </c>
      <c r="K36" s="60">
        <f t="shared" si="13"/>
        <v>24999.336</v>
      </c>
      <c r="L36" s="60">
        <f t="shared" si="14"/>
        <v>9892.2372552</v>
      </c>
      <c r="M36" s="60">
        <f t="shared" si="15"/>
        <v>34891.5732552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56" s="57" customFormat="1" ht="12.75">
      <c r="A37" s="60" t="s">
        <v>187</v>
      </c>
      <c r="B37" s="96" t="s">
        <v>11</v>
      </c>
      <c r="C37" s="60">
        <v>1339</v>
      </c>
      <c r="D37" s="68">
        <v>1</v>
      </c>
      <c r="E37" s="60">
        <f t="shared" si="8"/>
        <v>1339</v>
      </c>
      <c r="F37" s="60">
        <f t="shared" si="9"/>
        <v>1379.17</v>
      </c>
      <c r="G37" s="60">
        <f t="shared" si="10"/>
        <v>16550.04</v>
      </c>
      <c r="H37" s="60">
        <f t="shared" si="11"/>
        <v>187.015452</v>
      </c>
      <c r="I37" s="60">
        <f t="shared" si="12"/>
        <v>16737.055452</v>
      </c>
      <c r="J37" s="68">
        <v>1</v>
      </c>
      <c r="K37" s="60">
        <f t="shared" si="13"/>
        <v>16737.055452</v>
      </c>
      <c r="L37" s="60">
        <f t="shared" si="14"/>
        <v>6622.8528423564</v>
      </c>
      <c r="M37" s="60">
        <f t="shared" si="15"/>
        <v>23359.9082943564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s="57" customFormat="1" ht="12.75">
      <c r="A38" s="60" t="s">
        <v>203</v>
      </c>
      <c r="B38" s="96" t="s">
        <v>204</v>
      </c>
      <c r="C38" s="60">
        <v>2318</v>
      </c>
      <c r="D38" s="68">
        <v>1</v>
      </c>
      <c r="E38" s="60">
        <f>C38*D38</f>
        <v>2318</v>
      </c>
      <c r="F38" s="60">
        <f t="shared" si="9"/>
        <v>2387.54</v>
      </c>
      <c r="G38" s="60">
        <f t="shared" si="10"/>
        <v>28650.48</v>
      </c>
      <c r="H38" s="60">
        <f t="shared" si="11"/>
        <v>323.75042399999995</v>
      </c>
      <c r="I38" s="60">
        <f>SUM(G38:H38)</f>
        <v>28974.230424</v>
      </c>
      <c r="J38" s="68">
        <v>1</v>
      </c>
      <c r="K38" s="60">
        <f>I38*J38</f>
        <v>28974.230424</v>
      </c>
      <c r="L38" s="60">
        <f t="shared" si="14"/>
        <v>11465.1029787768</v>
      </c>
      <c r="M38" s="60">
        <f>SUM(K38:L38)</f>
        <v>40439.3334027768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13" ht="12.75" outlineLevel="2">
      <c r="A39" s="78" t="s">
        <v>124</v>
      </c>
      <c r="B39" s="96"/>
      <c r="C39" s="96"/>
      <c r="D39" s="68"/>
      <c r="E39" s="96"/>
      <c r="F39" s="96"/>
      <c r="G39" s="96"/>
      <c r="H39" s="96"/>
      <c r="I39" s="96"/>
      <c r="J39" s="96"/>
      <c r="K39" s="78">
        <f>SUM(K29:K38)</f>
        <v>872403.20335548</v>
      </c>
      <c r="L39" s="78">
        <f>SUM(L29:L38)</f>
        <v>345209.94756776345</v>
      </c>
      <c r="M39" s="78">
        <f>SUM(M29:M38)</f>
        <v>1217613.1509232435</v>
      </c>
    </row>
    <row r="40" spans="1:256" s="57" customFormat="1" ht="8.25" customHeight="1">
      <c r="A40" s="107"/>
      <c r="M40" s="105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57" customFormat="1" ht="18" customHeight="1">
      <c r="A41" s="80" t="s">
        <v>129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06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s="59" customFormat="1" ht="12.75" outlineLevel="2">
      <c r="A42" s="60" t="s">
        <v>144</v>
      </c>
      <c r="B42" s="96" t="s">
        <v>79</v>
      </c>
      <c r="C42" s="60">
        <v>20390</v>
      </c>
      <c r="D42" s="68">
        <v>1</v>
      </c>
      <c r="E42" s="60">
        <f>C42*D42</f>
        <v>20390</v>
      </c>
      <c r="F42" s="60">
        <f>(E42*$F$3)+E42</f>
        <v>21001.7</v>
      </c>
      <c r="G42" s="60">
        <f>F42*$G$3</f>
        <v>252020.40000000002</v>
      </c>
      <c r="H42" s="60">
        <f>G42*$H$3</f>
        <v>2847.83052</v>
      </c>
      <c r="I42" s="60">
        <f>SUM(G42:H42)</f>
        <v>254868.23052</v>
      </c>
      <c r="J42" s="68">
        <v>1</v>
      </c>
      <c r="K42" s="60">
        <f>I42*J42</f>
        <v>254868.23052</v>
      </c>
      <c r="L42" s="60">
        <f>K42*$L$3</f>
        <v>100851.358816764</v>
      </c>
      <c r="M42" s="60">
        <f>SUM(K42:L42)</f>
        <v>355719.589336764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s="57" customFormat="1" ht="12.75" outlineLevel="2">
      <c r="A43" s="60" t="s">
        <v>145</v>
      </c>
      <c r="B43" s="96" t="s">
        <v>119</v>
      </c>
      <c r="C43" s="60">
        <v>7105</v>
      </c>
      <c r="D43" s="68">
        <v>1</v>
      </c>
      <c r="E43" s="60">
        <f>C43*D43</f>
        <v>7105</v>
      </c>
      <c r="F43" s="60">
        <f>(E43*$F$3)+E43</f>
        <v>7318.15</v>
      </c>
      <c r="G43" s="60">
        <f>F43*$G$3</f>
        <v>87817.79999999999</v>
      </c>
      <c r="H43" s="60">
        <f>G43*$H$3</f>
        <v>992.3411399999998</v>
      </c>
      <c r="I43" s="60">
        <f>SUM(G43:H43)</f>
        <v>88810.14113999999</v>
      </c>
      <c r="J43" s="68">
        <v>1</v>
      </c>
      <c r="K43" s="60">
        <f>I43*J43</f>
        <v>88810.14113999999</v>
      </c>
      <c r="L43" s="60">
        <f>K43*$L$3</f>
        <v>35142.172849097995</v>
      </c>
      <c r="M43" s="60">
        <f>SUM(K43:L43)</f>
        <v>123952.31398909798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s="57" customFormat="1" ht="12.75" outlineLevel="2">
      <c r="A44" s="60" t="s">
        <v>182</v>
      </c>
      <c r="B44" s="96"/>
      <c r="C44" s="60">
        <f>20000/12</f>
        <v>1666.6666666666667</v>
      </c>
      <c r="D44" s="68">
        <v>1</v>
      </c>
      <c r="E44" s="60">
        <f>C44*D44</f>
        <v>1666.6666666666667</v>
      </c>
      <c r="F44" s="60">
        <f>(E44*$F$3)+E44</f>
        <v>1716.6666666666667</v>
      </c>
      <c r="G44" s="60">
        <f>F44*$G$3</f>
        <v>20600</v>
      </c>
      <c r="H44" s="60">
        <f>G44*$H$3</f>
        <v>232.77999999999997</v>
      </c>
      <c r="I44" s="60">
        <f>SUM(G44:H44)</f>
        <v>20832.78</v>
      </c>
      <c r="J44" s="68">
        <v>1</v>
      </c>
      <c r="K44" s="60">
        <f>I44*J44</f>
        <v>20832.78</v>
      </c>
      <c r="L44" s="60">
        <f>K44*$L$3</f>
        <v>8243.531046</v>
      </c>
      <c r="M44" s="60">
        <f>SUM(K44:L44)</f>
        <v>29076.311046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13" ht="16.5" customHeight="1" outlineLevel="2">
      <c r="A45" s="78" t="s">
        <v>124</v>
      </c>
      <c r="B45" s="96"/>
      <c r="C45" s="96"/>
      <c r="D45" s="68"/>
      <c r="E45" s="96"/>
      <c r="F45" s="96"/>
      <c r="G45" s="96"/>
      <c r="H45" s="96"/>
      <c r="I45" s="96"/>
      <c r="J45" s="100"/>
      <c r="K45" s="78">
        <f>SUM(K42:K44)</f>
        <v>364511.15166</v>
      </c>
      <c r="L45" s="78">
        <f>SUM(L42:L44)</f>
        <v>144237.06271186197</v>
      </c>
      <c r="M45" s="78">
        <f>SUM(M42:M44)</f>
        <v>508748.214371862</v>
      </c>
    </row>
    <row r="46" spans="1:256" s="57" customFormat="1" ht="8.25" customHeight="1">
      <c r="A46" s="107"/>
      <c r="M46" s="10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s="57" customFormat="1" ht="18" customHeight="1">
      <c r="A47" s="80" t="s">
        <v>62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06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256" s="59" customFormat="1" ht="12.75" outlineLevel="2">
      <c r="A48" s="60" t="s">
        <v>143</v>
      </c>
      <c r="B48" s="96" t="s">
        <v>80</v>
      </c>
      <c r="C48" s="60">
        <v>21625</v>
      </c>
      <c r="D48" s="68">
        <v>1</v>
      </c>
      <c r="E48" s="60">
        <f>C48*D48</f>
        <v>21625</v>
      </c>
      <c r="F48" s="60">
        <f>(E48*$F$3)+E48</f>
        <v>22273.75</v>
      </c>
      <c r="G48" s="60">
        <f>F48*$G$3</f>
        <v>267285</v>
      </c>
      <c r="H48" s="60">
        <f>G48*$H$3</f>
        <v>3020.3205</v>
      </c>
      <c r="I48" s="60">
        <f>SUM(G48:H48)</f>
        <v>270305.3205</v>
      </c>
      <c r="J48" s="68">
        <v>0.9</v>
      </c>
      <c r="K48" s="78">
        <f>I48*J48</f>
        <v>243274.78845</v>
      </c>
      <c r="L48" s="78">
        <f>K48*$L$3</f>
        <v>96263.83378966499</v>
      </c>
      <c r="M48" s="78">
        <f>SUM(K48:L48)</f>
        <v>339538.622239665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256" s="59" customFormat="1" ht="12.75" outlineLevel="2">
      <c r="A49" s="60" t="s">
        <v>290</v>
      </c>
      <c r="B49" s="96" t="s">
        <v>291</v>
      </c>
      <c r="C49" s="60">
        <v>15943</v>
      </c>
      <c r="D49" s="68">
        <v>0.5</v>
      </c>
      <c r="E49" s="60">
        <f>C49*D49</f>
        <v>7971.5</v>
      </c>
      <c r="F49" s="60">
        <f>(E49*$F$3)+E49</f>
        <v>8210.645</v>
      </c>
      <c r="G49" s="60">
        <f>F49*$G$3</f>
        <v>98527.74</v>
      </c>
      <c r="H49" s="60">
        <f>G49*$H$3</f>
        <v>1113.363462</v>
      </c>
      <c r="I49" s="60">
        <f>SUM(G49:H49)</f>
        <v>99641.103462</v>
      </c>
      <c r="J49" s="68">
        <v>0.9</v>
      </c>
      <c r="K49" s="78">
        <f>I49*J49</f>
        <v>89676.9931158</v>
      </c>
      <c r="L49" s="78">
        <f>K49*$L$3</f>
        <v>35485.186175922056</v>
      </c>
      <c r="M49" s="78">
        <f>SUM(K49:L49)</f>
        <v>125162.17929172204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1:13" ht="16.5" customHeight="1" outlineLevel="2">
      <c r="A50" s="78" t="s">
        <v>124</v>
      </c>
      <c r="B50" s="96"/>
      <c r="C50" s="96"/>
      <c r="D50" s="68"/>
      <c r="E50" s="96"/>
      <c r="F50" s="96"/>
      <c r="G50" s="96"/>
      <c r="H50" s="96"/>
      <c r="I50" s="96"/>
      <c r="J50" s="100"/>
      <c r="K50" s="78">
        <f>SUM(K48:K49)</f>
        <v>332951.78156579996</v>
      </c>
      <c r="L50" s="78">
        <f>SUM(L48:L49)</f>
        <v>131749.01996558704</v>
      </c>
      <c r="M50" s="78">
        <f>SUM(M48:M49)</f>
        <v>464700.801531387</v>
      </c>
    </row>
    <row r="51" spans="1:256" s="57" customFormat="1" ht="8.25" customHeight="1">
      <c r="A51" s="107"/>
      <c r="M51" s="105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</row>
    <row r="52" spans="1:256" s="57" customFormat="1" ht="18" customHeight="1">
      <c r="A52" s="80" t="s">
        <v>120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06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</row>
    <row r="53" spans="1:256" s="59" customFormat="1" ht="12.75" outlineLevel="2">
      <c r="A53" s="60" t="s">
        <v>143</v>
      </c>
      <c r="B53" s="96" t="s">
        <v>80</v>
      </c>
      <c r="C53" s="60">
        <v>21625</v>
      </c>
      <c r="D53" s="68">
        <v>1</v>
      </c>
      <c r="E53" s="60">
        <f>C53*D53</f>
        <v>21625</v>
      </c>
      <c r="F53" s="60">
        <f>(E53*$F$3)+E53</f>
        <v>22273.75</v>
      </c>
      <c r="G53" s="60">
        <f>F53*$G$3</f>
        <v>267285</v>
      </c>
      <c r="H53" s="60">
        <f>G53*$H$3</f>
        <v>3020.3205</v>
      </c>
      <c r="I53" s="60">
        <f>SUM(G53:H53)</f>
        <v>270305.3205</v>
      </c>
      <c r="J53" s="68">
        <v>0.1</v>
      </c>
      <c r="K53" s="78">
        <f>I53*J53</f>
        <v>27030.532049999998</v>
      </c>
      <c r="L53" s="78">
        <f>K53*$L$3</f>
        <v>10695.981532184998</v>
      </c>
      <c r="M53" s="78">
        <f>SUM(K53:L53)</f>
        <v>37726.513582185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</row>
    <row r="54" spans="1:256" s="57" customFormat="1" ht="18.75" outlineLevel="2">
      <c r="A54" s="53" t="str">
        <f>A1</f>
        <v>Beräkning av lönekostnader Kultur Nacka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4:256" s="57" customFormat="1" ht="12.75" outlineLevel="2"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</row>
    <row r="56" spans="4:256" s="55" customFormat="1" ht="15.75">
      <c r="D56" s="98"/>
      <c r="F56" s="70">
        <v>0.03</v>
      </c>
      <c r="G56" s="71">
        <v>12</v>
      </c>
      <c r="H56" s="70">
        <v>0.0113</v>
      </c>
      <c r="I56" s="70" t="s">
        <v>124</v>
      </c>
      <c r="J56" s="72"/>
      <c r="K56" s="70"/>
      <c r="L56" s="70">
        <v>0.3957</v>
      </c>
      <c r="M56" s="70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</row>
    <row r="57" spans="1:256" s="58" customFormat="1" ht="26.25" customHeight="1">
      <c r="A57" s="56"/>
      <c r="B57" s="56" t="s">
        <v>68</v>
      </c>
      <c r="C57" s="91">
        <v>1</v>
      </c>
      <c r="D57" s="75" t="s">
        <v>184</v>
      </c>
      <c r="E57" s="74" t="s">
        <v>142</v>
      </c>
      <c r="F57" s="74" t="s">
        <v>134</v>
      </c>
      <c r="G57" s="74" t="s">
        <v>69</v>
      </c>
      <c r="H57" s="74" t="s">
        <v>135</v>
      </c>
      <c r="I57" s="74" t="s">
        <v>125</v>
      </c>
      <c r="J57" s="75" t="s">
        <v>146</v>
      </c>
      <c r="K57" s="74" t="s">
        <v>124</v>
      </c>
      <c r="L57" s="74" t="s">
        <v>70</v>
      </c>
      <c r="M57" s="74" t="s">
        <v>71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1:256" s="57" customFormat="1" ht="8.25" customHeight="1">
      <c r="A58" s="107"/>
      <c r="M58" s="105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1:256" s="57" customFormat="1" ht="18" customHeight="1">
      <c r="A59" s="80" t="s">
        <v>130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06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</row>
    <row r="60" spans="1:256" s="59" customFormat="1" ht="12.75" outlineLevel="2">
      <c r="A60" s="60" t="s">
        <v>131</v>
      </c>
      <c r="B60" s="96" t="s">
        <v>84</v>
      </c>
      <c r="C60" s="60">
        <v>16820</v>
      </c>
      <c r="D60" s="68">
        <v>1</v>
      </c>
      <c r="E60" s="60">
        <f>C60*D60</f>
        <v>16820</v>
      </c>
      <c r="F60" s="60">
        <f>(E60*$F$3)+E60</f>
        <v>17324.6</v>
      </c>
      <c r="G60" s="60">
        <f>F60*$G$3</f>
        <v>207895.19999999998</v>
      </c>
      <c r="H60" s="60">
        <f>G60*$H$3</f>
        <v>2349.2157599999996</v>
      </c>
      <c r="I60" s="60">
        <f>SUM(G60:H60)</f>
        <v>210244.41575999997</v>
      </c>
      <c r="J60" s="68">
        <v>1</v>
      </c>
      <c r="K60" s="60">
        <f>I60*J60</f>
        <v>210244.41575999997</v>
      </c>
      <c r="L60" s="60">
        <f>K60*$L$3</f>
        <v>83193.71531623199</v>
      </c>
      <c r="M60" s="60">
        <f>SUM(K60:L60)</f>
        <v>293438.13107623195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</row>
    <row r="61" spans="1:256" s="59" customFormat="1" ht="12.75" outlineLevel="2">
      <c r="A61" s="60" t="s">
        <v>131</v>
      </c>
      <c r="B61" s="96" t="s">
        <v>85</v>
      </c>
      <c r="C61" s="60">
        <v>15710</v>
      </c>
      <c r="D61" s="68">
        <v>1</v>
      </c>
      <c r="E61" s="60">
        <f>C61*D61</f>
        <v>15710</v>
      </c>
      <c r="F61" s="60">
        <f>(E61*$F$3)+E61</f>
        <v>16181.3</v>
      </c>
      <c r="G61" s="60">
        <f>F61*$G$3</f>
        <v>194175.59999999998</v>
      </c>
      <c r="H61" s="60">
        <f>G61*$H$3</f>
        <v>2194.1842799999995</v>
      </c>
      <c r="I61" s="60">
        <f>SUM(G61:H61)</f>
        <v>196369.78427999996</v>
      </c>
      <c r="J61" s="68">
        <v>1</v>
      </c>
      <c r="K61" s="60">
        <f>I61*J61</f>
        <v>196369.78427999996</v>
      </c>
      <c r="L61" s="60">
        <f>K61*$L$3</f>
        <v>77703.52363959598</v>
      </c>
      <c r="M61" s="60">
        <f>SUM(K61:L61)</f>
        <v>274073.307919596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</row>
    <row r="62" spans="1:256" s="59" customFormat="1" ht="12.75" outlineLevel="2">
      <c r="A62" s="60" t="s">
        <v>183</v>
      </c>
      <c r="B62" s="96"/>
      <c r="C62" s="60">
        <f>20000/12</f>
        <v>1666.6666666666667</v>
      </c>
      <c r="D62" s="68">
        <v>1</v>
      </c>
      <c r="E62" s="60">
        <f>C62*D62</f>
        <v>1666.6666666666667</v>
      </c>
      <c r="F62" s="60">
        <f>(E62*$F$3)+E62</f>
        <v>1716.6666666666667</v>
      </c>
      <c r="G62" s="60">
        <f>F62*$G$3</f>
        <v>20600</v>
      </c>
      <c r="H62" s="60">
        <f>G62*$H$3</f>
        <v>232.77999999999997</v>
      </c>
      <c r="I62" s="60">
        <f>SUM(G62:H62)</f>
        <v>20832.78</v>
      </c>
      <c r="J62" s="68">
        <v>1</v>
      </c>
      <c r="K62" s="60">
        <f>I62*J62</f>
        <v>20832.78</v>
      </c>
      <c r="L62" s="60">
        <f>K62*$L$3</f>
        <v>8243.531046</v>
      </c>
      <c r="M62" s="60">
        <f>SUM(K62:L62)</f>
        <v>29076.311046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</row>
    <row r="63" spans="1:256" s="76" customFormat="1" ht="12.75">
      <c r="A63" s="78" t="s">
        <v>124</v>
      </c>
      <c r="B63" s="78"/>
      <c r="C63" s="78"/>
      <c r="D63" s="101"/>
      <c r="E63" s="78"/>
      <c r="F63" s="78"/>
      <c r="G63" s="78"/>
      <c r="H63" s="78"/>
      <c r="I63" s="78"/>
      <c r="J63" s="78"/>
      <c r="K63" s="78">
        <f>SUM(K60:K62)</f>
        <v>427446.98003999994</v>
      </c>
      <c r="L63" s="78">
        <f>SUM(L60:L62)</f>
        <v>169140.77000182794</v>
      </c>
      <c r="M63" s="78">
        <f>SUM(M60:M62)</f>
        <v>596587.7500418279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13" ht="1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3" ht="12.75">
      <c r="A65" s="78" t="s">
        <v>71</v>
      </c>
      <c r="B65" s="96"/>
      <c r="C65" s="96"/>
      <c r="D65" s="68"/>
      <c r="E65" s="96"/>
      <c r="F65" s="96"/>
      <c r="G65" s="96"/>
      <c r="H65" s="96"/>
      <c r="I65" s="96"/>
      <c r="J65" s="100"/>
      <c r="K65" s="102">
        <f>K11+K16+K26+K39+K45+K49+K53+K63</f>
        <v>3962728.7887945194</v>
      </c>
      <c r="L65" s="102">
        <f>L11+L16+L26+L39+L45+L49+L53+L63</f>
        <v>1568051.7817259915</v>
      </c>
      <c r="M65" s="102">
        <f>M11+M16+M26+M39+M45+M49+M53+M63</f>
        <v>5530780.570520512</v>
      </c>
    </row>
    <row r="66" spans="1:256" s="57" customFormat="1" ht="12.75">
      <c r="A66" s="59"/>
      <c r="B66" s="59"/>
      <c r="C66" s="59"/>
      <c r="D66" s="69"/>
      <c r="E66" s="59"/>
      <c r="F66" s="59"/>
      <c r="G66" s="59"/>
      <c r="H66" s="59"/>
      <c r="I66" s="59"/>
      <c r="J66" s="59"/>
      <c r="K66" s="59"/>
      <c r="L66" s="59"/>
      <c r="M66" s="59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</row>
    <row r="67" spans="1:256" s="57" customFormat="1" ht="12.75">
      <c r="A67" s="59"/>
      <c r="B67" s="59"/>
      <c r="C67" s="59"/>
      <c r="D67" s="69"/>
      <c r="E67" s="59"/>
      <c r="F67" s="59"/>
      <c r="G67" s="59"/>
      <c r="H67" s="59"/>
      <c r="I67" s="59"/>
      <c r="J67" s="69"/>
      <c r="K67" s="59"/>
      <c r="L67" s="59"/>
      <c r="M67" s="59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s="57" customFormat="1" ht="12.75">
      <c r="A68" s="59"/>
      <c r="B68" s="59"/>
      <c r="C68" s="59"/>
      <c r="D68" s="69"/>
      <c r="E68" s="59"/>
      <c r="F68" s="59"/>
      <c r="G68" s="59"/>
      <c r="H68" s="59"/>
      <c r="I68" s="59"/>
      <c r="J68" s="69"/>
      <c r="K68" s="59"/>
      <c r="L68" s="59"/>
      <c r="M68" s="59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</row>
    <row r="69" spans="1:256" s="57" customFormat="1" ht="12.75">
      <c r="A69" s="59"/>
      <c r="B69" s="59"/>
      <c r="C69" s="59"/>
      <c r="D69" s="69"/>
      <c r="E69" s="59"/>
      <c r="F69" s="59"/>
      <c r="G69" s="59"/>
      <c r="H69" s="59"/>
      <c r="I69" s="59"/>
      <c r="J69" s="69"/>
      <c r="K69" s="59"/>
      <c r="L69" s="59"/>
      <c r="M69" s="59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</row>
    <row r="70" spans="1:256" s="57" customFormat="1" ht="12.75">
      <c r="A70" s="59"/>
      <c r="B70" s="59"/>
      <c r="C70" s="59"/>
      <c r="D70" s="69"/>
      <c r="E70" s="59"/>
      <c r="F70" s="59"/>
      <c r="G70" s="59"/>
      <c r="H70" s="59"/>
      <c r="I70" s="59"/>
      <c r="J70" s="69"/>
      <c r="K70" s="59"/>
      <c r="L70" s="59"/>
      <c r="M70" s="59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</row>
    <row r="71" spans="1:256" s="57" customFormat="1" ht="12.75">
      <c r="A71" s="59"/>
      <c r="B71" s="59"/>
      <c r="C71" s="59"/>
      <c r="D71" s="69"/>
      <c r="E71" s="59"/>
      <c r="F71" s="59"/>
      <c r="G71" s="59"/>
      <c r="H71" s="59"/>
      <c r="I71" s="59"/>
      <c r="J71" s="69"/>
      <c r="K71" s="59"/>
      <c r="L71" s="59"/>
      <c r="M71" s="59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</row>
    <row r="72" spans="1:256" s="57" customFormat="1" ht="12.75">
      <c r="A72" s="59"/>
      <c r="B72" s="59"/>
      <c r="C72" s="59"/>
      <c r="D72" s="69"/>
      <c r="E72" s="59"/>
      <c r="F72" s="59"/>
      <c r="G72" s="59"/>
      <c r="H72" s="59"/>
      <c r="I72" s="59"/>
      <c r="J72" s="69"/>
      <c r="K72" s="59"/>
      <c r="L72" s="59"/>
      <c r="M72" s="59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</row>
    <row r="73" spans="1:256" s="57" customFormat="1" ht="12.75">
      <c r="A73" s="59"/>
      <c r="B73" s="59"/>
      <c r="C73" s="59"/>
      <c r="D73" s="69"/>
      <c r="E73" s="59"/>
      <c r="F73" s="59"/>
      <c r="G73" s="59"/>
      <c r="H73" s="59"/>
      <c r="I73" s="59"/>
      <c r="J73" s="69"/>
      <c r="K73" s="59"/>
      <c r="L73" s="59"/>
      <c r="M73" s="59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</row>
    <row r="74" spans="1:256" s="57" customFormat="1" ht="12.75">
      <c r="A74" s="59"/>
      <c r="B74" s="59"/>
      <c r="C74" s="59"/>
      <c r="D74" s="69"/>
      <c r="E74" s="59"/>
      <c r="F74" s="59"/>
      <c r="G74" s="59"/>
      <c r="H74" s="59"/>
      <c r="I74" s="59"/>
      <c r="J74" s="69"/>
      <c r="K74" s="59"/>
      <c r="L74" s="59"/>
      <c r="M74" s="59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</row>
    <row r="75" spans="1:256" s="57" customFormat="1" ht="12.75">
      <c r="A75" s="59"/>
      <c r="B75" s="59"/>
      <c r="C75" s="59"/>
      <c r="D75" s="69"/>
      <c r="E75" s="59"/>
      <c r="F75" s="59"/>
      <c r="G75" s="59"/>
      <c r="H75" s="59"/>
      <c r="I75" s="59"/>
      <c r="J75" s="69"/>
      <c r="K75" s="59"/>
      <c r="L75" s="59"/>
      <c r="M75" s="59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</row>
    <row r="76" spans="1:256" s="57" customFormat="1" ht="12.75">
      <c r="A76" s="59"/>
      <c r="B76" s="59"/>
      <c r="C76" s="59"/>
      <c r="D76" s="69"/>
      <c r="E76" s="59"/>
      <c r="F76" s="59"/>
      <c r="G76" s="59"/>
      <c r="H76" s="59"/>
      <c r="I76" s="59"/>
      <c r="J76" s="69"/>
      <c r="K76" s="59"/>
      <c r="L76" s="59"/>
      <c r="M76" s="59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</row>
    <row r="77" spans="1:256" s="57" customFormat="1" ht="12.75">
      <c r="A77" s="59"/>
      <c r="B77" s="59"/>
      <c r="C77" s="59"/>
      <c r="D77" s="69"/>
      <c r="E77" s="59"/>
      <c r="F77" s="59"/>
      <c r="G77" s="59"/>
      <c r="H77" s="59"/>
      <c r="I77" s="59"/>
      <c r="J77" s="69"/>
      <c r="K77" s="59"/>
      <c r="L77" s="59"/>
      <c r="M77" s="59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</row>
    <row r="78" spans="1:256" s="57" customFormat="1" ht="12.75">
      <c r="A78" s="59"/>
      <c r="B78" s="59"/>
      <c r="C78" s="59"/>
      <c r="D78" s="69"/>
      <c r="E78" s="59"/>
      <c r="F78" s="59"/>
      <c r="G78" s="59"/>
      <c r="H78" s="59"/>
      <c r="I78" s="59"/>
      <c r="J78" s="69"/>
      <c r="K78" s="59"/>
      <c r="L78" s="59"/>
      <c r="M78" s="59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256" s="57" customFormat="1" ht="12.75">
      <c r="A79" s="59"/>
      <c r="B79" s="59"/>
      <c r="C79" s="59"/>
      <c r="D79" s="69"/>
      <c r="E79" s="59"/>
      <c r="F79" s="59"/>
      <c r="G79" s="59"/>
      <c r="H79" s="59"/>
      <c r="I79" s="59"/>
      <c r="J79" s="69"/>
      <c r="K79" s="59"/>
      <c r="L79" s="59"/>
      <c r="M79" s="59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</row>
    <row r="80" spans="1:256" s="57" customFormat="1" ht="12.75">
      <c r="A80" s="59"/>
      <c r="B80" s="59"/>
      <c r="C80" s="59"/>
      <c r="D80" s="69"/>
      <c r="E80" s="59"/>
      <c r="F80" s="59"/>
      <c r="G80" s="59"/>
      <c r="H80" s="59"/>
      <c r="I80" s="59"/>
      <c r="J80" s="69"/>
      <c r="K80" s="59"/>
      <c r="L80" s="59"/>
      <c r="M80" s="59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</row>
    <row r="81" spans="1:256" s="57" customFormat="1" ht="12.75">
      <c r="A81" s="59"/>
      <c r="B81" s="59"/>
      <c r="C81" s="59"/>
      <c r="D81" s="69"/>
      <c r="E81" s="59"/>
      <c r="F81" s="59"/>
      <c r="G81" s="59"/>
      <c r="H81" s="59"/>
      <c r="I81" s="59"/>
      <c r="J81" s="69"/>
      <c r="K81" s="59"/>
      <c r="L81" s="59"/>
      <c r="M81" s="59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</row>
    <row r="82" spans="1:256" s="57" customFormat="1" ht="12.75">
      <c r="A82" s="59"/>
      <c r="B82" s="59"/>
      <c r="C82" s="59"/>
      <c r="D82" s="69"/>
      <c r="E82" s="59"/>
      <c r="F82" s="59"/>
      <c r="G82" s="59"/>
      <c r="H82" s="59"/>
      <c r="I82" s="59"/>
      <c r="J82" s="69"/>
      <c r="K82" s="59"/>
      <c r="L82" s="59"/>
      <c r="M82" s="59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T82" s="77"/>
      <c r="IU82" s="77"/>
      <c r="IV82" s="77"/>
    </row>
    <row r="83" spans="1:256" s="57" customFormat="1" ht="12.75">
      <c r="A83" s="59"/>
      <c r="B83" s="59"/>
      <c r="C83" s="59"/>
      <c r="D83" s="69"/>
      <c r="E83" s="59"/>
      <c r="F83" s="59"/>
      <c r="G83" s="59"/>
      <c r="H83" s="59"/>
      <c r="I83" s="59"/>
      <c r="J83" s="69"/>
      <c r="K83" s="59"/>
      <c r="L83" s="59"/>
      <c r="M83" s="59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  <c r="IU83" s="77"/>
      <c r="IV83" s="77"/>
    </row>
    <row r="84" spans="1:256" s="57" customFormat="1" ht="12.75">
      <c r="A84" s="59"/>
      <c r="B84" s="59"/>
      <c r="C84" s="59"/>
      <c r="D84" s="69"/>
      <c r="E84" s="59"/>
      <c r="F84" s="59"/>
      <c r="G84" s="59"/>
      <c r="H84" s="59"/>
      <c r="I84" s="59"/>
      <c r="J84" s="69"/>
      <c r="K84" s="59"/>
      <c r="L84" s="59"/>
      <c r="M84" s="59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 s="57" customFormat="1" ht="12.75">
      <c r="A85" s="59"/>
      <c r="B85" s="59"/>
      <c r="C85" s="59"/>
      <c r="D85" s="69"/>
      <c r="E85" s="59"/>
      <c r="F85" s="59"/>
      <c r="G85" s="59"/>
      <c r="H85" s="59"/>
      <c r="I85" s="59"/>
      <c r="J85" s="69"/>
      <c r="K85" s="59"/>
      <c r="L85" s="59"/>
      <c r="M85" s="59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  <c r="IU85" s="77"/>
      <c r="IV85" s="77"/>
    </row>
    <row r="86" spans="1:256" s="57" customFormat="1" ht="12.75">
      <c r="A86" s="59"/>
      <c r="B86" s="59"/>
      <c r="C86" s="59"/>
      <c r="D86" s="69"/>
      <c r="E86" s="59"/>
      <c r="F86" s="59"/>
      <c r="G86" s="59"/>
      <c r="H86" s="59"/>
      <c r="I86" s="59"/>
      <c r="J86" s="69"/>
      <c r="K86" s="59"/>
      <c r="L86" s="59"/>
      <c r="M86" s="59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  <c r="IV86" s="77"/>
    </row>
    <row r="87" spans="1:256" s="57" customFormat="1" ht="12.75">
      <c r="A87" s="59"/>
      <c r="B87" s="59"/>
      <c r="C87" s="59"/>
      <c r="D87" s="69"/>
      <c r="E87" s="59"/>
      <c r="F87" s="59"/>
      <c r="G87" s="59"/>
      <c r="H87" s="59"/>
      <c r="I87" s="59"/>
      <c r="J87" s="69"/>
      <c r="K87" s="59"/>
      <c r="L87" s="59"/>
      <c r="M87" s="59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T87" s="77"/>
      <c r="IU87" s="77"/>
      <c r="IV87" s="77"/>
    </row>
    <row r="88" spans="1:256" s="57" customFormat="1" ht="12.75">
      <c r="A88" s="59"/>
      <c r="B88" s="59"/>
      <c r="C88" s="59"/>
      <c r="D88" s="69"/>
      <c r="E88" s="59"/>
      <c r="F88" s="59"/>
      <c r="G88" s="59"/>
      <c r="H88" s="59"/>
      <c r="I88" s="59"/>
      <c r="J88" s="69"/>
      <c r="K88" s="59"/>
      <c r="L88" s="59"/>
      <c r="M88" s="59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  <c r="IV88" s="77"/>
    </row>
    <row r="89" spans="1:256" s="57" customFormat="1" ht="12.75">
      <c r="A89" s="59"/>
      <c r="B89" s="59"/>
      <c r="C89" s="59"/>
      <c r="D89" s="69"/>
      <c r="E89" s="59"/>
      <c r="F89" s="59"/>
      <c r="G89" s="59"/>
      <c r="H89" s="59"/>
      <c r="I89" s="59"/>
      <c r="J89" s="69"/>
      <c r="K89" s="59"/>
      <c r="L89" s="59"/>
      <c r="M89" s="59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T89" s="77"/>
      <c r="IU89" s="77"/>
      <c r="IV89" s="77"/>
    </row>
    <row r="90" spans="1:256" s="57" customFormat="1" ht="12.75">
      <c r="A90" s="59"/>
      <c r="B90" s="59"/>
      <c r="C90" s="59"/>
      <c r="D90" s="69"/>
      <c r="E90" s="59"/>
      <c r="F90" s="59"/>
      <c r="G90" s="59"/>
      <c r="H90" s="59"/>
      <c r="I90" s="59"/>
      <c r="J90" s="69"/>
      <c r="K90" s="59"/>
      <c r="L90" s="59"/>
      <c r="M90" s="59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</row>
    <row r="91" spans="1:256" s="57" customFormat="1" ht="12.75">
      <c r="A91" s="59"/>
      <c r="B91" s="59"/>
      <c r="C91" s="59"/>
      <c r="D91" s="69"/>
      <c r="E91" s="59"/>
      <c r="F91" s="59"/>
      <c r="G91" s="59"/>
      <c r="H91" s="59"/>
      <c r="I91" s="59"/>
      <c r="J91" s="69"/>
      <c r="K91" s="59"/>
      <c r="L91" s="59"/>
      <c r="M91" s="59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  <c r="IU91" s="77"/>
      <c r="IV91" s="77"/>
    </row>
    <row r="92" spans="1:256" s="57" customFormat="1" ht="12.75">
      <c r="A92" s="59"/>
      <c r="B92" s="59"/>
      <c r="C92" s="59"/>
      <c r="D92" s="69"/>
      <c r="E92" s="59"/>
      <c r="F92" s="59"/>
      <c r="G92" s="59"/>
      <c r="H92" s="59"/>
      <c r="I92" s="59"/>
      <c r="J92" s="69"/>
      <c r="K92" s="59"/>
      <c r="L92" s="59"/>
      <c r="M92" s="59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  <c r="IV92" s="77"/>
    </row>
    <row r="93" spans="1:256" s="57" customFormat="1" ht="12.75">
      <c r="A93" s="59"/>
      <c r="B93" s="59"/>
      <c r="C93" s="59"/>
      <c r="D93" s="69"/>
      <c r="E93" s="59"/>
      <c r="F93" s="59"/>
      <c r="G93" s="59"/>
      <c r="H93" s="59"/>
      <c r="I93" s="59"/>
      <c r="J93" s="69"/>
      <c r="K93" s="59"/>
      <c r="L93" s="59"/>
      <c r="M93" s="59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T93" s="77"/>
      <c r="IU93" s="77"/>
      <c r="IV93" s="77"/>
    </row>
    <row r="94" spans="1:256" s="57" customFormat="1" ht="12.75">
      <c r="A94" s="59"/>
      <c r="B94" s="59"/>
      <c r="C94" s="59"/>
      <c r="D94" s="69"/>
      <c r="E94" s="59"/>
      <c r="F94" s="59"/>
      <c r="G94" s="59"/>
      <c r="H94" s="59"/>
      <c r="I94" s="59"/>
      <c r="J94" s="69"/>
      <c r="K94" s="59"/>
      <c r="L94" s="59"/>
      <c r="M94" s="59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7"/>
      <c r="IU94" s="77"/>
      <c r="IV94" s="77"/>
    </row>
    <row r="95" spans="1:256" s="57" customFormat="1" ht="12.75">
      <c r="A95" s="59"/>
      <c r="B95" s="59"/>
      <c r="C95" s="59"/>
      <c r="D95" s="69"/>
      <c r="E95" s="59"/>
      <c r="F95" s="59"/>
      <c r="G95" s="59"/>
      <c r="H95" s="59"/>
      <c r="I95" s="59"/>
      <c r="J95" s="69"/>
      <c r="K95" s="59"/>
      <c r="L95" s="59"/>
      <c r="M95" s="59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</row>
    <row r="96" spans="1:256" s="57" customFormat="1" ht="12.75">
      <c r="A96" s="59"/>
      <c r="B96" s="59"/>
      <c r="C96" s="59"/>
      <c r="D96" s="69"/>
      <c r="E96" s="59"/>
      <c r="F96" s="59"/>
      <c r="G96" s="59"/>
      <c r="H96" s="59"/>
      <c r="I96" s="59"/>
      <c r="J96" s="69"/>
      <c r="K96" s="59"/>
      <c r="L96" s="59"/>
      <c r="M96" s="59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7"/>
      <c r="IU96" s="77"/>
      <c r="IV96" s="77"/>
    </row>
    <row r="97" spans="1:256" s="57" customFormat="1" ht="12.75">
      <c r="A97" s="59"/>
      <c r="B97" s="59"/>
      <c r="C97" s="59"/>
      <c r="D97" s="69"/>
      <c r="E97" s="59"/>
      <c r="F97" s="59"/>
      <c r="G97" s="59"/>
      <c r="H97" s="59"/>
      <c r="I97" s="59"/>
      <c r="J97" s="69"/>
      <c r="K97" s="59"/>
      <c r="L97" s="59"/>
      <c r="M97" s="59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T97" s="77"/>
      <c r="IU97" s="77"/>
      <c r="IV97" s="77"/>
    </row>
    <row r="98" spans="1:256" s="57" customFormat="1" ht="12.75">
      <c r="A98" s="59"/>
      <c r="B98" s="59"/>
      <c r="C98" s="59"/>
      <c r="D98" s="69"/>
      <c r="E98" s="59"/>
      <c r="F98" s="59"/>
      <c r="G98" s="59"/>
      <c r="H98" s="59"/>
      <c r="I98" s="59"/>
      <c r="J98" s="69"/>
      <c r="K98" s="59"/>
      <c r="L98" s="59"/>
      <c r="M98" s="59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77"/>
      <c r="IU98" s="77"/>
      <c r="IV98" s="77"/>
    </row>
    <row r="99" spans="1:256" s="57" customFormat="1" ht="12.75">
      <c r="A99" s="59"/>
      <c r="B99" s="59"/>
      <c r="C99" s="59"/>
      <c r="D99" s="69"/>
      <c r="E99" s="59"/>
      <c r="F99" s="59"/>
      <c r="G99" s="59"/>
      <c r="H99" s="59"/>
      <c r="I99" s="59"/>
      <c r="J99" s="69"/>
      <c r="K99" s="59"/>
      <c r="L99" s="59"/>
      <c r="M99" s="59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T99" s="77"/>
      <c r="IU99" s="77"/>
      <c r="IV99" s="77"/>
    </row>
    <row r="100" spans="1:256" s="57" customFormat="1" ht="12.75">
      <c r="A100" s="59"/>
      <c r="B100" s="59"/>
      <c r="C100" s="59"/>
      <c r="D100" s="69"/>
      <c r="E100" s="59"/>
      <c r="F100" s="59"/>
      <c r="G100" s="59"/>
      <c r="H100" s="59"/>
      <c r="I100" s="59"/>
      <c r="J100" s="69"/>
      <c r="K100" s="59"/>
      <c r="L100" s="59"/>
      <c r="M100" s="59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  <c r="IV100" s="77"/>
    </row>
    <row r="101" spans="1:256" s="57" customFormat="1" ht="12.75">
      <c r="A101" s="59"/>
      <c r="B101" s="59"/>
      <c r="C101" s="59"/>
      <c r="D101" s="69"/>
      <c r="E101" s="59"/>
      <c r="F101" s="59"/>
      <c r="G101" s="59"/>
      <c r="H101" s="59"/>
      <c r="I101" s="59"/>
      <c r="J101" s="69"/>
      <c r="K101" s="59"/>
      <c r="L101" s="59"/>
      <c r="M101" s="59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  <c r="IV101" s="77"/>
    </row>
    <row r="102" spans="1:256" s="57" customFormat="1" ht="12.75">
      <c r="A102" s="59"/>
      <c r="B102" s="59"/>
      <c r="C102" s="59"/>
      <c r="D102" s="69"/>
      <c r="E102" s="59"/>
      <c r="F102" s="59"/>
      <c r="G102" s="59"/>
      <c r="H102" s="59"/>
      <c r="I102" s="59"/>
      <c r="J102" s="69"/>
      <c r="K102" s="59"/>
      <c r="L102" s="59"/>
      <c r="M102" s="59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T102" s="77"/>
      <c r="IU102" s="77"/>
      <c r="IV102" s="77"/>
    </row>
    <row r="103" spans="1:256" s="57" customFormat="1" ht="12.75">
      <c r="A103" s="59"/>
      <c r="B103" s="59"/>
      <c r="C103" s="59"/>
      <c r="D103" s="69"/>
      <c r="E103" s="59"/>
      <c r="F103" s="59"/>
      <c r="G103" s="59"/>
      <c r="H103" s="59"/>
      <c r="I103" s="59"/>
      <c r="J103" s="69"/>
      <c r="K103" s="59"/>
      <c r="L103" s="59"/>
      <c r="M103" s="59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T103" s="77"/>
      <c r="IU103" s="77"/>
      <c r="IV103" s="77"/>
    </row>
    <row r="104" spans="1:256" s="57" customFormat="1" ht="12.75">
      <c r="A104" s="59"/>
      <c r="B104" s="59"/>
      <c r="C104" s="59"/>
      <c r="D104" s="69"/>
      <c r="E104" s="59"/>
      <c r="F104" s="59"/>
      <c r="G104" s="59"/>
      <c r="H104" s="59"/>
      <c r="I104" s="59"/>
      <c r="J104" s="69"/>
      <c r="K104" s="59"/>
      <c r="L104" s="59"/>
      <c r="M104" s="59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T104" s="77"/>
      <c r="IU104" s="77"/>
      <c r="IV104" s="77"/>
    </row>
    <row r="105" spans="1:256" s="57" customFormat="1" ht="12.75">
      <c r="A105" s="59"/>
      <c r="B105" s="59"/>
      <c r="C105" s="59"/>
      <c r="D105" s="69"/>
      <c r="E105" s="59"/>
      <c r="F105" s="59"/>
      <c r="G105" s="59"/>
      <c r="H105" s="59"/>
      <c r="I105" s="59"/>
      <c r="J105" s="69"/>
      <c r="K105" s="59"/>
      <c r="L105" s="59"/>
      <c r="M105" s="59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T105" s="77"/>
      <c r="IU105" s="77"/>
      <c r="IV105" s="77"/>
    </row>
    <row r="106" spans="1:256" s="57" customFormat="1" ht="12.75">
      <c r="A106" s="59"/>
      <c r="B106" s="59"/>
      <c r="C106" s="59"/>
      <c r="D106" s="69"/>
      <c r="E106" s="59"/>
      <c r="F106" s="59"/>
      <c r="G106" s="59"/>
      <c r="H106" s="59"/>
      <c r="I106" s="59"/>
      <c r="J106" s="69"/>
      <c r="K106" s="59"/>
      <c r="L106" s="59"/>
      <c r="M106" s="59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T106" s="77"/>
      <c r="IU106" s="77"/>
      <c r="IV106" s="77"/>
    </row>
    <row r="107" spans="1:256" s="57" customFormat="1" ht="12.75">
      <c r="A107" s="59"/>
      <c r="B107" s="59"/>
      <c r="C107" s="59"/>
      <c r="D107" s="69"/>
      <c r="E107" s="59"/>
      <c r="F107" s="59"/>
      <c r="G107" s="59"/>
      <c r="H107" s="59"/>
      <c r="I107" s="59"/>
      <c r="J107" s="69"/>
      <c r="K107" s="59"/>
      <c r="L107" s="59"/>
      <c r="M107" s="59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T107" s="77"/>
      <c r="IU107" s="77"/>
      <c r="IV107" s="77"/>
    </row>
    <row r="108" spans="1:256" s="57" customFormat="1" ht="12.75">
      <c r="A108" s="59"/>
      <c r="B108" s="59"/>
      <c r="C108" s="59"/>
      <c r="D108" s="69"/>
      <c r="E108" s="59"/>
      <c r="F108" s="59"/>
      <c r="G108" s="59"/>
      <c r="H108" s="59"/>
      <c r="I108" s="59"/>
      <c r="J108" s="69"/>
      <c r="K108" s="59"/>
      <c r="L108" s="59"/>
      <c r="M108" s="59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</row>
    <row r="109" spans="1:256" s="57" customFormat="1" ht="12.75">
      <c r="A109" s="59"/>
      <c r="B109" s="59"/>
      <c r="C109" s="59"/>
      <c r="D109" s="69"/>
      <c r="E109" s="59"/>
      <c r="F109" s="59"/>
      <c r="G109" s="59"/>
      <c r="H109" s="59"/>
      <c r="I109" s="59"/>
      <c r="J109" s="69"/>
      <c r="K109" s="59"/>
      <c r="L109" s="59"/>
      <c r="M109" s="59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77"/>
      <c r="IR109" s="77"/>
      <c r="IS109" s="77"/>
      <c r="IT109" s="77"/>
      <c r="IU109" s="77"/>
      <c r="IV109" s="77"/>
    </row>
    <row r="110" spans="1:256" s="57" customFormat="1" ht="12.75">
      <c r="A110" s="59"/>
      <c r="B110" s="59"/>
      <c r="C110" s="59"/>
      <c r="D110" s="69"/>
      <c r="E110" s="59"/>
      <c r="F110" s="59"/>
      <c r="G110" s="59"/>
      <c r="H110" s="59"/>
      <c r="I110" s="59"/>
      <c r="J110" s="69"/>
      <c r="K110" s="59"/>
      <c r="L110" s="59"/>
      <c r="M110" s="59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  <c r="IG110" s="77"/>
      <c r="IH110" s="77"/>
      <c r="II110" s="77"/>
      <c r="IJ110" s="77"/>
      <c r="IK110" s="77"/>
      <c r="IL110" s="77"/>
      <c r="IM110" s="77"/>
      <c r="IN110" s="77"/>
      <c r="IO110" s="77"/>
      <c r="IP110" s="77"/>
      <c r="IQ110" s="77"/>
      <c r="IR110" s="77"/>
      <c r="IS110" s="77"/>
      <c r="IT110" s="77"/>
      <c r="IU110" s="77"/>
      <c r="IV110" s="77"/>
    </row>
    <row r="111" spans="1:256" s="57" customFormat="1" ht="12.75">
      <c r="A111" s="59"/>
      <c r="B111" s="59"/>
      <c r="C111" s="59"/>
      <c r="D111" s="69"/>
      <c r="E111" s="59"/>
      <c r="F111" s="59"/>
      <c r="G111" s="59"/>
      <c r="H111" s="59"/>
      <c r="I111" s="59"/>
      <c r="J111" s="69"/>
      <c r="K111" s="59"/>
      <c r="L111" s="59"/>
      <c r="M111" s="59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  <c r="IE111" s="77"/>
      <c r="IF111" s="77"/>
      <c r="IG111" s="77"/>
      <c r="IH111" s="77"/>
      <c r="II111" s="77"/>
      <c r="IJ111" s="77"/>
      <c r="IK111" s="77"/>
      <c r="IL111" s="77"/>
      <c r="IM111" s="77"/>
      <c r="IN111" s="77"/>
      <c r="IO111" s="77"/>
      <c r="IP111" s="77"/>
      <c r="IQ111" s="77"/>
      <c r="IR111" s="77"/>
      <c r="IS111" s="77"/>
      <c r="IT111" s="77"/>
      <c r="IU111" s="77"/>
      <c r="IV111" s="77"/>
    </row>
    <row r="112" spans="1:256" s="57" customFormat="1" ht="12.75">
      <c r="A112" s="59"/>
      <c r="B112" s="59"/>
      <c r="C112" s="59"/>
      <c r="D112" s="69"/>
      <c r="E112" s="59"/>
      <c r="F112" s="59"/>
      <c r="G112" s="59"/>
      <c r="H112" s="59"/>
      <c r="I112" s="59"/>
      <c r="J112" s="69"/>
      <c r="K112" s="59"/>
      <c r="L112" s="59"/>
      <c r="M112" s="59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  <c r="IG112" s="77"/>
      <c r="IH112" s="77"/>
      <c r="II112" s="77"/>
      <c r="IJ112" s="77"/>
      <c r="IK112" s="77"/>
      <c r="IL112" s="77"/>
      <c r="IM112" s="77"/>
      <c r="IN112" s="77"/>
      <c r="IO112" s="77"/>
      <c r="IP112" s="77"/>
      <c r="IQ112" s="77"/>
      <c r="IR112" s="77"/>
      <c r="IS112" s="77"/>
      <c r="IT112" s="77"/>
      <c r="IU112" s="77"/>
      <c r="IV112" s="77"/>
    </row>
    <row r="113" spans="1:256" s="57" customFormat="1" ht="12.75">
      <c r="A113" s="59"/>
      <c r="B113" s="59"/>
      <c r="C113" s="59"/>
      <c r="D113" s="69"/>
      <c r="E113" s="59"/>
      <c r="F113" s="59"/>
      <c r="G113" s="59"/>
      <c r="H113" s="59"/>
      <c r="I113" s="59"/>
      <c r="J113" s="69"/>
      <c r="K113" s="59"/>
      <c r="L113" s="59"/>
      <c r="M113" s="59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  <c r="IG113" s="77"/>
      <c r="IH113" s="77"/>
      <c r="II113" s="77"/>
      <c r="IJ113" s="77"/>
      <c r="IK113" s="77"/>
      <c r="IL113" s="77"/>
      <c r="IM113" s="77"/>
      <c r="IN113" s="77"/>
      <c r="IO113" s="77"/>
      <c r="IP113" s="77"/>
      <c r="IQ113" s="77"/>
      <c r="IR113" s="77"/>
      <c r="IS113" s="77"/>
      <c r="IT113" s="77"/>
      <c r="IU113" s="77"/>
      <c r="IV113" s="77"/>
    </row>
    <row r="114" spans="1:256" s="57" customFormat="1" ht="12.75">
      <c r="A114" s="59"/>
      <c r="B114" s="59"/>
      <c r="C114" s="59"/>
      <c r="D114" s="69"/>
      <c r="E114" s="59"/>
      <c r="F114" s="59"/>
      <c r="G114" s="59"/>
      <c r="H114" s="59"/>
      <c r="I114" s="59"/>
      <c r="J114" s="69"/>
      <c r="K114" s="59"/>
      <c r="L114" s="59"/>
      <c r="M114" s="59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  <c r="IG114" s="77"/>
      <c r="IH114" s="77"/>
      <c r="II114" s="77"/>
      <c r="IJ114" s="77"/>
      <c r="IK114" s="77"/>
      <c r="IL114" s="77"/>
      <c r="IM114" s="77"/>
      <c r="IN114" s="77"/>
      <c r="IO114" s="77"/>
      <c r="IP114" s="77"/>
      <c r="IQ114" s="77"/>
      <c r="IR114" s="77"/>
      <c r="IS114" s="77"/>
      <c r="IT114" s="77"/>
      <c r="IU114" s="77"/>
      <c r="IV114" s="77"/>
    </row>
    <row r="115" spans="1:256" s="57" customFormat="1" ht="12.75">
      <c r="A115" s="59"/>
      <c r="B115" s="59"/>
      <c r="C115" s="59"/>
      <c r="D115" s="69"/>
      <c r="E115" s="59"/>
      <c r="F115" s="59"/>
      <c r="G115" s="59"/>
      <c r="H115" s="59"/>
      <c r="I115" s="59"/>
      <c r="J115" s="69"/>
      <c r="K115" s="59"/>
      <c r="L115" s="59"/>
      <c r="M115" s="5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  <c r="IT115" s="77"/>
      <c r="IU115" s="77"/>
      <c r="IV115" s="77"/>
    </row>
    <row r="116" spans="1:256" s="57" customFormat="1" ht="12.75">
      <c r="A116" s="59"/>
      <c r="B116" s="59"/>
      <c r="C116" s="59"/>
      <c r="D116" s="69"/>
      <c r="E116" s="59"/>
      <c r="F116" s="59"/>
      <c r="G116" s="59"/>
      <c r="H116" s="59"/>
      <c r="I116" s="59"/>
      <c r="J116" s="69"/>
      <c r="K116" s="59"/>
      <c r="L116" s="59"/>
      <c r="M116" s="59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  <c r="IE116" s="77"/>
      <c r="IF116" s="77"/>
      <c r="IG116" s="77"/>
      <c r="IH116" s="77"/>
      <c r="II116" s="77"/>
      <c r="IJ116" s="77"/>
      <c r="IK116" s="77"/>
      <c r="IL116" s="77"/>
      <c r="IM116" s="77"/>
      <c r="IN116" s="77"/>
      <c r="IO116" s="77"/>
      <c r="IP116" s="77"/>
      <c r="IQ116" s="77"/>
      <c r="IR116" s="77"/>
      <c r="IS116" s="77"/>
      <c r="IT116" s="77"/>
      <c r="IU116" s="77"/>
      <c r="IV116" s="77"/>
    </row>
    <row r="117" spans="1:256" s="57" customFormat="1" ht="12.75">
      <c r="A117" s="59"/>
      <c r="B117" s="59"/>
      <c r="C117" s="59"/>
      <c r="D117" s="69"/>
      <c r="E117" s="59"/>
      <c r="F117" s="59"/>
      <c r="G117" s="59"/>
      <c r="H117" s="59"/>
      <c r="I117" s="59"/>
      <c r="J117" s="69"/>
      <c r="K117" s="59"/>
      <c r="L117" s="59"/>
      <c r="M117" s="59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  <c r="IE117" s="77"/>
      <c r="IF117" s="77"/>
      <c r="IG117" s="77"/>
      <c r="IH117" s="77"/>
      <c r="II117" s="77"/>
      <c r="IJ117" s="77"/>
      <c r="IK117" s="77"/>
      <c r="IL117" s="77"/>
      <c r="IM117" s="77"/>
      <c r="IN117" s="77"/>
      <c r="IO117" s="77"/>
      <c r="IP117" s="77"/>
      <c r="IQ117" s="77"/>
      <c r="IR117" s="77"/>
      <c r="IS117" s="77"/>
      <c r="IT117" s="77"/>
      <c r="IU117" s="77"/>
      <c r="IV117" s="77"/>
    </row>
    <row r="118" spans="1:256" s="57" customFormat="1" ht="12.75">
      <c r="A118" s="59"/>
      <c r="B118" s="59"/>
      <c r="C118" s="59"/>
      <c r="D118" s="69"/>
      <c r="E118" s="59"/>
      <c r="F118" s="59"/>
      <c r="G118" s="59"/>
      <c r="H118" s="59"/>
      <c r="I118" s="59"/>
      <c r="J118" s="69"/>
      <c r="K118" s="59"/>
      <c r="L118" s="59"/>
      <c r="M118" s="59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  <c r="IE118" s="77"/>
      <c r="IF118" s="77"/>
      <c r="IG118" s="77"/>
      <c r="IH118" s="77"/>
      <c r="II118" s="77"/>
      <c r="IJ118" s="77"/>
      <c r="IK118" s="77"/>
      <c r="IL118" s="77"/>
      <c r="IM118" s="77"/>
      <c r="IN118" s="77"/>
      <c r="IO118" s="77"/>
      <c r="IP118" s="77"/>
      <c r="IQ118" s="77"/>
      <c r="IR118" s="77"/>
      <c r="IS118" s="77"/>
      <c r="IT118" s="77"/>
      <c r="IU118" s="77"/>
      <c r="IV118" s="77"/>
    </row>
    <row r="119" spans="1:256" s="57" customFormat="1" ht="12.75">
      <c r="A119" s="59"/>
      <c r="B119" s="59"/>
      <c r="C119" s="59"/>
      <c r="D119" s="69"/>
      <c r="E119" s="59"/>
      <c r="F119" s="59"/>
      <c r="G119" s="59"/>
      <c r="H119" s="59"/>
      <c r="I119" s="59"/>
      <c r="J119" s="69"/>
      <c r="K119" s="59"/>
      <c r="L119" s="59"/>
      <c r="M119" s="59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  <c r="IE119" s="77"/>
      <c r="IF119" s="77"/>
      <c r="IG119" s="77"/>
      <c r="IH119" s="77"/>
      <c r="II119" s="77"/>
      <c r="IJ119" s="77"/>
      <c r="IK119" s="77"/>
      <c r="IL119" s="77"/>
      <c r="IM119" s="77"/>
      <c r="IN119" s="77"/>
      <c r="IO119" s="77"/>
      <c r="IP119" s="77"/>
      <c r="IQ119" s="77"/>
      <c r="IR119" s="77"/>
      <c r="IS119" s="77"/>
      <c r="IT119" s="77"/>
      <c r="IU119" s="77"/>
      <c r="IV119" s="77"/>
    </row>
    <row r="120" spans="1:256" s="57" customFormat="1" ht="12.75">
      <c r="A120" s="59"/>
      <c r="B120" s="59"/>
      <c r="C120" s="59"/>
      <c r="D120" s="69"/>
      <c r="E120" s="59"/>
      <c r="F120" s="59"/>
      <c r="G120" s="59"/>
      <c r="H120" s="59"/>
      <c r="I120" s="59"/>
      <c r="J120" s="69"/>
      <c r="K120" s="59"/>
      <c r="L120" s="59"/>
      <c r="M120" s="59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  <c r="IG120" s="77"/>
      <c r="IH120" s="77"/>
      <c r="II120" s="77"/>
      <c r="IJ120" s="77"/>
      <c r="IK120" s="77"/>
      <c r="IL120" s="77"/>
      <c r="IM120" s="77"/>
      <c r="IN120" s="77"/>
      <c r="IO120" s="77"/>
      <c r="IP120" s="77"/>
      <c r="IQ120" s="77"/>
      <c r="IR120" s="77"/>
      <c r="IS120" s="77"/>
      <c r="IT120" s="77"/>
      <c r="IU120" s="77"/>
      <c r="IV120" s="77"/>
    </row>
    <row r="121" spans="1:256" s="57" customFormat="1" ht="12.75">
      <c r="A121" s="59"/>
      <c r="B121" s="59"/>
      <c r="C121" s="59"/>
      <c r="D121" s="69"/>
      <c r="E121" s="59"/>
      <c r="F121" s="59"/>
      <c r="G121" s="59"/>
      <c r="H121" s="59"/>
      <c r="I121" s="59"/>
      <c r="J121" s="69"/>
      <c r="K121" s="59"/>
      <c r="L121" s="59"/>
      <c r="M121" s="59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77"/>
      <c r="IB121" s="77"/>
      <c r="IC121" s="77"/>
      <c r="ID121" s="77"/>
      <c r="IE121" s="77"/>
      <c r="IF121" s="77"/>
      <c r="IG121" s="77"/>
      <c r="IH121" s="77"/>
      <c r="II121" s="77"/>
      <c r="IJ121" s="77"/>
      <c r="IK121" s="77"/>
      <c r="IL121" s="77"/>
      <c r="IM121" s="77"/>
      <c r="IN121" s="77"/>
      <c r="IO121" s="77"/>
      <c r="IP121" s="77"/>
      <c r="IQ121" s="77"/>
      <c r="IR121" s="77"/>
      <c r="IS121" s="77"/>
      <c r="IT121" s="77"/>
      <c r="IU121" s="77"/>
      <c r="IV121" s="77"/>
    </row>
    <row r="122" spans="1:256" s="57" customFormat="1" ht="12.75">
      <c r="A122" s="59"/>
      <c r="B122" s="59"/>
      <c r="C122" s="59"/>
      <c r="D122" s="69"/>
      <c r="E122" s="59"/>
      <c r="F122" s="59"/>
      <c r="G122" s="59"/>
      <c r="H122" s="59"/>
      <c r="I122" s="59"/>
      <c r="J122" s="69"/>
      <c r="K122" s="59"/>
      <c r="L122" s="59"/>
      <c r="M122" s="59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  <c r="HY122" s="77"/>
      <c r="HZ122" s="77"/>
      <c r="IA122" s="77"/>
      <c r="IB122" s="77"/>
      <c r="IC122" s="77"/>
      <c r="ID122" s="77"/>
      <c r="IE122" s="77"/>
      <c r="IF122" s="77"/>
      <c r="IG122" s="77"/>
      <c r="IH122" s="77"/>
      <c r="II122" s="77"/>
      <c r="IJ122" s="77"/>
      <c r="IK122" s="77"/>
      <c r="IL122" s="77"/>
      <c r="IM122" s="77"/>
      <c r="IN122" s="77"/>
      <c r="IO122" s="77"/>
      <c r="IP122" s="77"/>
      <c r="IQ122" s="77"/>
      <c r="IR122" s="77"/>
      <c r="IS122" s="77"/>
      <c r="IT122" s="77"/>
      <c r="IU122" s="77"/>
      <c r="IV122" s="77"/>
    </row>
    <row r="123" spans="1:256" s="57" customFormat="1" ht="12.75">
      <c r="A123" s="59"/>
      <c r="B123" s="59"/>
      <c r="C123" s="59"/>
      <c r="D123" s="69"/>
      <c r="E123" s="59"/>
      <c r="F123" s="59"/>
      <c r="G123" s="59"/>
      <c r="H123" s="59"/>
      <c r="I123" s="59"/>
      <c r="J123" s="69"/>
      <c r="K123" s="59"/>
      <c r="L123" s="59"/>
      <c r="M123" s="59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77"/>
      <c r="IB123" s="77"/>
      <c r="IC123" s="77"/>
      <c r="ID123" s="77"/>
      <c r="IE123" s="77"/>
      <c r="IF123" s="77"/>
      <c r="IG123" s="77"/>
      <c r="IH123" s="77"/>
      <c r="II123" s="77"/>
      <c r="IJ123" s="77"/>
      <c r="IK123" s="77"/>
      <c r="IL123" s="77"/>
      <c r="IM123" s="77"/>
      <c r="IN123" s="77"/>
      <c r="IO123" s="77"/>
      <c r="IP123" s="77"/>
      <c r="IQ123" s="77"/>
      <c r="IR123" s="77"/>
      <c r="IS123" s="77"/>
      <c r="IT123" s="77"/>
      <c r="IU123" s="77"/>
      <c r="IV123" s="77"/>
    </row>
    <row r="124" spans="1:256" s="57" customFormat="1" ht="12.75">
      <c r="A124" s="59"/>
      <c r="B124" s="59"/>
      <c r="C124" s="59"/>
      <c r="D124" s="69"/>
      <c r="E124" s="59"/>
      <c r="F124" s="59"/>
      <c r="G124" s="59"/>
      <c r="H124" s="59"/>
      <c r="I124" s="59"/>
      <c r="J124" s="69"/>
      <c r="K124" s="59"/>
      <c r="L124" s="59"/>
      <c r="M124" s="59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  <c r="IG124" s="77"/>
      <c r="IH124" s="77"/>
      <c r="II124" s="77"/>
      <c r="IJ124" s="77"/>
      <c r="IK124" s="77"/>
      <c r="IL124" s="77"/>
      <c r="IM124" s="77"/>
      <c r="IN124" s="77"/>
      <c r="IO124" s="77"/>
      <c r="IP124" s="77"/>
      <c r="IQ124" s="77"/>
      <c r="IR124" s="77"/>
      <c r="IS124" s="77"/>
      <c r="IT124" s="77"/>
      <c r="IU124" s="77"/>
      <c r="IV124" s="77"/>
    </row>
    <row r="125" spans="1:256" s="57" customFormat="1" ht="12.75">
      <c r="A125" s="59"/>
      <c r="B125" s="59"/>
      <c r="C125" s="59"/>
      <c r="D125" s="69"/>
      <c r="E125" s="59"/>
      <c r="F125" s="59"/>
      <c r="G125" s="59"/>
      <c r="H125" s="59"/>
      <c r="I125" s="59"/>
      <c r="J125" s="69"/>
      <c r="K125" s="59"/>
      <c r="L125" s="59"/>
      <c r="M125" s="59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  <c r="IA125" s="77"/>
      <c r="IB125" s="77"/>
      <c r="IC125" s="77"/>
      <c r="ID125" s="77"/>
      <c r="IE125" s="77"/>
      <c r="IF125" s="77"/>
      <c r="IG125" s="77"/>
      <c r="IH125" s="77"/>
      <c r="II125" s="77"/>
      <c r="IJ125" s="77"/>
      <c r="IK125" s="77"/>
      <c r="IL125" s="77"/>
      <c r="IM125" s="77"/>
      <c r="IN125" s="77"/>
      <c r="IO125" s="77"/>
      <c r="IP125" s="77"/>
      <c r="IQ125" s="77"/>
      <c r="IR125" s="77"/>
      <c r="IS125" s="77"/>
      <c r="IT125" s="77"/>
      <c r="IU125" s="77"/>
      <c r="IV125" s="77"/>
    </row>
    <row r="126" spans="1:256" s="57" customFormat="1" ht="12.75">
      <c r="A126" s="59"/>
      <c r="B126" s="59"/>
      <c r="C126" s="59"/>
      <c r="D126" s="69"/>
      <c r="E126" s="59"/>
      <c r="F126" s="59"/>
      <c r="G126" s="59"/>
      <c r="H126" s="59"/>
      <c r="I126" s="59"/>
      <c r="J126" s="69"/>
      <c r="K126" s="59"/>
      <c r="L126" s="59"/>
      <c r="M126" s="59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77"/>
      <c r="IB126" s="77"/>
      <c r="IC126" s="77"/>
      <c r="ID126" s="77"/>
      <c r="IE126" s="77"/>
      <c r="IF126" s="77"/>
      <c r="IG126" s="77"/>
      <c r="IH126" s="77"/>
      <c r="II126" s="77"/>
      <c r="IJ126" s="77"/>
      <c r="IK126" s="77"/>
      <c r="IL126" s="77"/>
      <c r="IM126" s="77"/>
      <c r="IN126" s="77"/>
      <c r="IO126" s="77"/>
      <c r="IP126" s="77"/>
      <c r="IQ126" s="77"/>
      <c r="IR126" s="77"/>
      <c r="IS126" s="77"/>
      <c r="IT126" s="77"/>
      <c r="IU126" s="77"/>
      <c r="IV126" s="77"/>
    </row>
    <row r="127" spans="1:256" s="57" customFormat="1" ht="12.75">
      <c r="A127" s="59"/>
      <c r="B127" s="59"/>
      <c r="C127" s="59"/>
      <c r="D127" s="69"/>
      <c r="E127" s="59"/>
      <c r="F127" s="59"/>
      <c r="G127" s="59"/>
      <c r="H127" s="59"/>
      <c r="I127" s="59"/>
      <c r="J127" s="69"/>
      <c r="K127" s="59"/>
      <c r="L127" s="59"/>
      <c r="M127" s="59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7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7"/>
      <c r="IQ127" s="77"/>
      <c r="IR127" s="77"/>
      <c r="IS127" s="77"/>
      <c r="IT127" s="77"/>
      <c r="IU127" s="77"/>
      <c r="IV127" s="77"/>
    </row>
    <row r="128" spans="1:256" s="57" customFormat="1" ht="12.75">
      <c r="A128" s="59"/>
      <c r="B128" s="59"/>
      <c r="C128" s="59"/>
      <c r="D128" s="69"/>
      <c r="E128" s="59"/>
      <c r="F128" s="59"/>
      <c r="G128" s="59"/>
      <c r="H128" s="59"/>
      <c r="I128" s="59"/>
      <c r="J128" s="69"/>
      <c r="K128" s="59"/>
      <c r="L128" s="59"/>
      <c r="M128" s="59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  <c r="IR128" s="77"/>
      <c r="IS128" s="77"/>
      <c r="IT128" s="77"/>
      <c r="IU128" s="77"/>
      <c r="IV128" s="77"/>
    </row>
    <row r="129" spans="1:256" s="57" customFormat="1" ht="12.75">
      <c r="A129" s="59"/>
      <c r="B129" s="59"/>
      <c r="C129" s="59"/>
      <c r="D129" s="69"/>
      <c r="E129" s="59"/>
      <c r="F129" s="59"/>
      <c r="G129" s="59"/>
      <c r="H129" s="59"/>
      <c r="I129" s="59"/>
      <c r="J129" s="69"/>
      <c r="K129" s="59"/>
      <c r="L129" s="59"/>
      <c r="M129" s="59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  <c r="IA129" s="77"/>
      <c r="IB129" s="77"/>
      <c r="IC129" s="77"/>
      <c r="ID129" s="77"/>
      <c r="IE129" s="77"/>
      <c r="IF129" s="77"/>
      <c r="IG129" s="77"/>
      <c r="IH129" s="77"/>
      <c r="II129" s="77"/>
      <c r="IJ129" s="77"/>
      <c r="IK129" s="77"/>
      <c r="IL129" s="77"/>
      <c r="IM129" s="77"/>
      <c r="IN129" s="77"/>
      <c r="IO129" s="77"/>
      <c r="IP129" s="77"/>
      <c r="IQ129" s="77"/>
      <c r="IR129" s="77"/>
      <c r="IS129" s="77"/>
      <c r="IT129" s="77"/>
      <c r="IU129" s="77"/>
      <c r="IV129" s="77"/>
    </row>
    <row r="130" spans="1:256" s="57" customFormat="1" ht="12.75">
      <c r="A130" s="59"/>
      <c r="B130" s="59"/>
      <c r="C130" s="59"/>
      <c r="D130" s="69"/>
      <c r="E130" s="59"/>
      <c r="F130" s="59"/>
      <c r="G130" s="59"/>
      <c r="H130" s="59"/>
      <c r="I130" s="59"/>
      <c r="J130" s="69"/>
      <c r="K130" s="59"/>
      <c r="L130" s="59"/>
      <c r="M130" s="59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  <c r="IA130" s="77"/>
      <c r="IB130" s="77"/>
      <c r="IC130" s="77"/>
      <c r="ID130" s="77"/>
      <c r="IE130" s="77"/>
      <c r="IF130" s="77"/>
      <c r="IG130" s="77"/>
      <c r="IH130" s="77"/>
      <c r="II130" s="77"/>
      <c r="IJ130" s="77"/>
      <c r="IK130" s="77"/>
      <c r="IL130" s="77"/>
      <c r="IM130" s="77"/>
      <c r="IN130" s="77"/>
      <c r="IO130" s="77"/>
      <c r="IP130" s="77"/>
      <c r="IQ130" s="77"/>
      <c r="IR130" s="77"/>
      <c r="IS130" s="77"/>
      <c r="IT130" s="77"/>
      <c r="IU130" s="77"/>
      <c r="IV130" s="77"/>
    </row>
    <row r="131" spans="1:256" s="57" customFormat="1" ht="12.75">
      <c r="A131" s="59"/>
      <c r="B131" s="59"/>
      <c r="C131" s="59"/>
      <c r="D131" s="69"/>
      <c r="E131" s="59"/>
      <c r="F131" s="59"/>
      <c r="G131" s="59"/>
      <c r="H131" s="59"/>
      <c r="I131" s="59"/>
      <c r="J131" s="69"/>
      <c r="K131" s="59"/>
      <c r="L131" s="59"/>
      <c r="M131" s="59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  <c r="IG131" s="77"/>
      <c r="IH131" s="77"/>
      <c r="II131" s="77"/>
      <c r="IJ131" s="77"/>
      <c r="IK131" s="77"/>
      <c r="IL131" s="77"/>
      <c r="IM131" s="77"/>
      <c r="IN131" s="77"/>
      <c r="IO131" s="77"/>
      <c r="IP131" s="77"/>
      <c r="IQ131" s="77"/>
      <c r="IR131" s="77"/>
      <c r="IS131" s="77"/>
      <c r="IT131" s="77"/>
      <c r="IU131" s="77"/>
      <c r="IV131" s="77"/>
    </row>
    <row r="132" spans="1:256" s="57" customFormat="1" ht="12.75">
      <c r="A132" s="59"/>
      <c r="B132" s="59"/>
      <c r="C132" s="59"/>
      <c r="D132" s="69"/>
      <c r="E132" s="59"/>
      <c r="F132" s="59"/>
      <c r="G132" s="59"/>
      <c r="H132" s="59"/>
      <c r="I132" s="59"/>
      <c r="J132" s="69"/>
      <c r="K132" s="59"/>
      <c r="L132" s="59"/>
      <c r="M132" s="59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</row>
    <row r="133" spans="1:256" s="57" customFormat="1" ht="12.75">
      <c r="A133" s="59"/>
      <c r="B133" s="59"/>
      <c r="C133" s="59"/>
      <c r="D133" s="69"/>
      <c r="E133" s="59"/>
      <c r="F133" s="59"/>
      <c r="G133" s="59"/>
      <c r="H133" s="59"/>
      <c r="I133" s="59"/>
      <c r="J133" s="69"/>
      <c r="K133" s="59"/>
      <c r="L133" s="59"/>
      <c r="M133" s="59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  <c r="IG133" s="77"/>
      <c r="IH133" s="77"/>
      <c r="II133" s="77"/>
      <c r="IJ133" s="77"/>
      <c r="IK133" s="77"/>
      <c r="IL133" s="77"/>
      <c r="IM133" s="77"/>
      <c r="IN133" s="77"/>
      <c r="IO133" s="77"/>
      <c r="IP133" s="77"/>
      <c r="IQ133" s="77"/>
      <c r="IR133" s="77"/>
      <c r="IS133" s="77"/>
      <c r="IT133" s="77"/>
      <c r="IU133" s="77"/>
      <c r="IV133" s="77"/>
    </row>
    <row r="134" spans="1:256" s="57" customFormat="1" ht="12.75">
      <c r="A134" s="59"/>
      <c r="B134" s="59"/>
      <c r="C134" s="59"/>
      <c r="D134" s="69"/>
      <c r="E134" s="59"/>
      <c r="F134" s="59"/>
      <c r="G134" s="59"/>
      <c r="H134" s="59"/>
      <c r="I134" s="59"/>
      <c r="J134" s="69"/>
      <c r="K134" s="59"/>
      <c r="L134" s="59"/>
      <c r="M134" s="59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77"/>
      <c r="IB134" s="77"/>
      <c r="IC134" s="77"/>
      <c r="ID134" s="77"/>
      <c r="IE134" s="77"/>
      <c r="IF134" s="77"/>
      <c r="IG134" s="77"/>
      <c r="IH134" s="77"/>
      <c r="II134" s="77"/>
      <c r="IJ134" s="77"/>
      <c r="IK134" s="77"/>
      <c r="IL134" s="77"/>
      <c r="IM134" s="77"/>
      <c r="IN134" s="77"/>
      <c r="IO134" s="77"/>
      <c r="IP134" s="77"/>
      <c r="IQ134" s="77"/>
      <c r="IR134" s="77"/>
      <c r="IS134" s="77"/>
      <c r="IT134" s="77"/>
      <c r="IU134" s="77"/>
      <c r="IV134" s="77"/>
    </row>
    <row r="135" spans="1:256" s="57" customFormat="1" ht="12.75">
      <c r="A135" s="59"/>
      <c r="B135" s="59"/>
      <c r="C135" s="59"/>
      <c r="D135" s="69"/>
      <c r="E135" s="59"/>
      <c r="F135" s="59"/>
      <c r="G135" s="59"/>
      <c r="H135" s="59"/>
      <c r="I135" s="59"/>
      <c r="J135" s="69"/>
      <c r="K135" s="59"/>
      <c r="L135" s="59"/>
      <c r="M135" s="59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77"/>
      <c r="IB135" s="77"/>
      <c r="IC135" s="77"/>
      <c r="ID135" s="77"/>
      <c r="IE135" s="77"/>
      <c r="IF135" s="77"/>
      <c r="IG135" s="77"/>
      <c r="IH135" s="77"/>
      <c r="II135" s="77"/>
      <c r="IJ135" s="77"/>
      <c r="IK135" s="77"/>
      <c r="IL135" s="77"/>
      <c r="IM135" s="77"/>
      <c r="IN135" s="77"/>
      <c r="IO135" s="77"/>
      <c r="IP135" s="77"/>
      <c r="IQ135" s="77"/>
      <c r="IR135" s="77"/>
      <c r="IS135" s="77"/>
      <c r="IT135" s="77"/>
      <c r="IU135" s="77"/>
      <c r="IV135" s="77"/>
    </row>
    <row r="136" spans="1:256" s="57" customFormat="1" ht="12.75">
      <c r="A136" s="59"/>
      <c r="B136" s="59"/>
      <c r="C136" s="59"/>
      <c r="D136" s="69"/>
      <c r="E136" s="59"/>
      <c r="F136" s="59"/>
      <c r="G136" s="59"/>
      <c r="H136" s="59"/>
      <c r="I136" s="59"/>
      <c r="J136" s="69"/>
      <c r="K136" s="59"/>
      <c r="L136" s="59"/>
      <c r="M136" s="59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  <c r="IG136" s="77"/>
      <c r="IH136" s="77"/>
      <c r="II136" s="77"/>
      <c r="IJ136" s="77"/>
      <c r="IK136" s="77"/>
      <c r="IL136" s="77"/>
      <c r="IM136" s="77"/>
      <c r="IN136" s="77"/>
      <c r="IO136" s="77"/>
      <c r="IP136" s="77"/>
      <c r="IQ136" s="77"/>
      <c r="IR136" s="77"/>
      <c r="IS136" s="77"/>
      <c r="IT136" s="77"/>
      <c r="IU136" s="77"/>
      <c r="IV136" s="77"/>
    </row>
    <row r="137" spans="1:256" s="57" customFormat="1" ht="12.75">
      <c r="A137" s="59"/>
      <c r="B137" s="59"/>
      <c r="C137" s="59"/>
      <c r="D137" s="69"/>
      <c r="E137" s="59"/>
      <c r="F137" s="59"/>
      <c r="G137" s="59"/>
      <c r="H137" s="59"/>
      <c r="I137" s="59"/>
      <c r="J137" s="69"/>
      <c r="K137" s="59"/>
      <c r="L137" s="59"/>
      <c r="M137" s="59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  <c r="IN137" s="77"/>
      <c r="IO137" s="77"/>
      <c r="IP137" s="77"/>
      <c r="IQ137" s="77"/>
      <c r="IR137" s="77"/>
      <c r="IS137" s="77"/>
      <c r="IT137" s="77"/>
      <c r="IU137" s="77"/>
      <c r="IV137" s="77"/>
    </row>
  </sheetData>
  <printOptions/>
  <pageMargins left="0" right="0" top="1.3779527559055118" bottom="0.1968503937007874" header="0.5118110236220472" footer="0.5118110236220472"/>
  <pageSetup horizontalDpi="600" verticalDpi="600" orientation="portrait" paperSize="9" r:id="rId1"/>
  <headerFooter alignWithMargins="0">
    <oddHeader>&amp;L&amp;"Times New RomanVFet"&amp;12NACKA KOMMUN&amp;"Times New Roman,NormalVNormal"
Kultur Nacka</oddHeader>
    <oddFooter>&amp;L&amp;4&amp;F&amp;A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9">
      <selection activeCell="F36" sqref="F36"/>
    </sheetView>
  </sheetViews>
  <sheetFormatPr defaultColWidth="9.140625" defaultRowHeight="12.75"/>
  <cols>
    <col min="1" max="1" width="31.421875" style="109" customWidth="1"/>
    <col min="2" max="2" width="9.140625" style="109" customWidth="1"/>
    <col min="3" max="3" width="11.28125" style="109" customWidth="1"/>
    <col min="4" max="16384" width="9.140625" style="109" customWidth="1"/>
  </cols>
  <sheetData>
    <row r="1" ht="18">
      <c r="A1" s="113" t="s">
        <v>226</v>
      </c>
    </row>
    <row r="2" ht="18">
      <c r="A2" s="113"/>
    </row>
    <row r="3" spans="1:2" ht="12.75">
      <c r="A3" s="115" t="s">
        <v>233</v>
      </c>
      <c r="B3" s="115">
        <f>B7+B17</f>
        <v>14460</v>
      </c>
    </row>
    <row r="5" ht="18">
      <c r="A5" s="113"/>
    </row>
    <row r="6" spans="2:3" ht="25.5">
      <c r="B6" s="116" t="s">
        <v>231</v>
      </c>
      <c r="C6" s="117" t="s">
        <v>232</v>
      </c>
    </row>
    <row r="7" spans="1:8" ht="12.75">
      <c r="A7" s="109" t="s">
        <v>229</v>
      </c>
      <c r="B7" s="109">
        <f>Sammanst!F12</f>
        <v>6007</v>
      </c>
      <c r="C7" s="110">
        <f>B7/B3</f>
        <v>0.4154218533886584</v>
      </c>
      <c r="H7" s="110"/>
    </row>
    <row r="8" spans="3:8" ht="12.75">
      <c r="C8" s="114"/>
      <c r="H8" s="114"/>
    </row>
    <row r="9" spans="2:5" ht="12.75">
      <c r="B9" s="116" t="s">
        <v>227</v>
      </c>
      <c r="C9" s="116" t="s">
        <v>228</v>
      </c>
      <c r="D9" s="116" t="s">
        <v>234</v>
      </c>
      <c r="E9" s="116" t="s">
        <v>124</v>
      </c>
    </row>
    <row r="10" spans="1:8" ht="12.75">
      <c r="A10" s="109" t="str">
        <f>Sammanst!E13</f>
        <v>Kulturupplevelser</v>
      </c>
      <c r="B10" s="109">
        <f>Sammanst!F13</f>
        <v>2111</v>
      </c>
      <c r="C10" s="110">
        <f>B10/$B$17</f>
        <v>0.24973382231160535</v>
      </c>
      <c r="D10" s="109">
        <f>$B$7*C10</f>
        <v>1500.1510706258134</v>
      </c>
      <c r="E10" s="109">
        <f>B10+D10</f>
        <v>3611.151070625813</v>
      </c>
      <c r="H10" s="110"/>
    </row>
    <row r="11" spans="1:8" ht="12.75">
      <c r="A11" s="109" t="str">
        <f>Sammanst!E14</f>
        <v>Skapande</v>
      </c>
      <c r="B11" s="109">
        <f>Sammanst!F14</f>
        <v>3679</v>
      </c>
      <c r="C11" s="110">
        <f aca="true" t="shared" si="0" ref="C11:C16">B11/$B$17</f>
        <v>0.4352300958239678</v>
      </c>
      <c r="D11" s="109">
        <f aca="true" t="shared" si="1" ref="D11:D16">$B$7*C11</f>
        <v>2614.4271856145747</v>
      </c>
      <c r="E11" s="109">
        <f aca="true" t="shared" si="2" ref="E11:E16">B11+D11</f>
        <v>6293.427185614575</v>
      </c>
      <c r="H11" s="110"/>
    </row>
    <row r="12" spans="1:8" ht="12.75">
      <c r="A12" s="109" t="str">
        <f>Sammanst!E15</f>
        <v>Museum och arkiv</v>
      </c>
      <c r="B12" s="109">
        <f>Sammanst!F15</f>
        <v>833</v>
      </c>
      <c r="C12" s="110">
        <f t="shared" si="0"/>
        <v>0.09854489530344257</v>
      </c>
      <c r="D12" s="109">
        <f t="shared" si="1"/>
        <v>591.9591860877795</v>
      </c>
      <c r="E12" s="109">
        <f t="shared" si="2"/>
        <v>1424.9591860877795</v>
      </c>
      <c r="H12" s="110"/>
    </row>
    <row r="13" spans="1:8" ht="12.75">
      <c r="A13" s="109" t="str">
        <f>Sammanst!E16</f>
        <v>Kultur i vården</v>
      </c>
      <c r="B13" s="109">
        <f>Sammanst!F16</f>
        <v>40</v>
      </c>
      <c r="C13" s="110">
        <f t="shared" si="0"/>
        <v>0.004732047793682716</v>
      </c>
      <c r="D13" s="109">
        <f t="shared" si="1"/>
        <v>28.425411096652077</v>
      </c>
      <c r="E13" s="109">
        <f t="shared" si="2"/>
        <v>68.42541109665208</v>
      </c>
      <c r="H13" s="110"/>
    </row>
    <row r="14" spans="1:8" ht="12.75">
      <c r="A14" s="109" t="str">
        <f>Sammanst!E17</f>
        <v>Konst</v>
      </c>
      <c r="B14" s="109">
        <f>Sammanst!F17</f>
        <v>1077</v>
      </c>
      <c r="C14" s="110">
        <f t="shared" si="0"/>
        <v>0.12741038684490713</v>
      </c>
      <c r="D14" s="109">
        <f t="shared" si="1"/>
        <v>765.3541937773572</v>
      </c>
      <c r="E14" s="109">
        <f t="shared" si="2"/>
        <v>1842.354193777357</v>
      </c>
      <c r="H14" s="110"/>
    </row>
    <row r="15" spans="1:8" ht="12.75">
      <c r="A15" s="109" t="str">
        <f>Sammanst!E18</f>
        <v>Föreningsbidrag</v>
      </c>
      <c r="B15" s="109">
        <f>Sammanst!F18</f>
        <v>50</v>
      </c>
      <c r="C15" s="110">
        <f t="shared" si="0"/>
        <v>0.0059150597421033955</v>
      </c>
      <c r="D15" s="109">
        <f t="shared" si="1"/>
        <v>35.5317638708151</v>
      </c>
      <c r="E15" s="109">
        <f t="shared" si="2"/>
        <v>85.5317638708151</v>
      </c>
      <c r="H15" s="110"/>
    </row>
    <row r="16" spans="1:8" ht="12.75">
      <c r="A16" s="109" t="str">
        <f>Sammanst!E19</f>
        <v>Reception och konferens</v>
      </c>
      <c r="B16" s="109">
        <f>Sammanst!F19</f>
        <v>663</v>
      </c>
      <c r="C16" s="110">
        <f t="shared" si="0"/>
        <v>0.07843369218029102</v>
      </c>
      <c r="D16" s="109">
        <f t="shared" si="1"/>
        <v>471.15118892700815</v>
      </c>
      <c r="E16" s="109">
        <f t="shared" si="2"/>
        <v>1134.1511889270082</v>
      </c>
      <c r="H16" s="110"/>
    </row>
    <row r="17" spans="1:9" ht="12.75">
      <c r="A17" s="111" t="s">
        <v>124</v>
      </c>
      <c r="B17" s="111">
        <f>SUM(B10:B16)</f>
        <v>8453</v>
      </c>
      <c r="C17" s="112">
        <f>SUM(C10:C16)</f>
        <v>1</v>
      </c>
      <c r="D17" s="111">
        <f>SUM(D10:D16)</f>
        <v>6007</v>
      </c>
      <c r="E17" s="111">
        <f>SUM(E10:E16)</f>
        <v>14459.999999999998</v>
      </c>
      <c r="H17" s="110"/>
      <c r="I17" s="111"/>
    </row>
    <row r="21" spans="2:3" ht="25.5">
      <c r="B21" s="116" t="s">
        <v>231</v>
      </c>
      <c r="C21" s="117" t="s">
        <v>232</v>
      </c>
    </row>
    <row r="22" spans="1:3" ht="12.75">
      <c r="A22" s="109" t="s">
        <v>235</v>
      </c>
      <c r="B22" s="109">
        <f>B7-B37</f>
        <v>4044</v>
      </c>
      <c r="C22" s="110">
        <f>B22/B3</f>
        <v>0.2796680497925311</v>
      </c>
    </row>
    <row r="24" spans="2:5" ht="12.75">
      <c r="B24" s="116" t="s">
        <v>227</v>
      </c>
      <c r="C24" s="116" t="s">
        <v>228</v>
      </c>
      <c r="D24" s="116" t="s">
        <v>234</v>
      </c>
      <c r="E24" s="116" t="s">
        <v>124</v>
      </c>
    </row>
    <row r="25" spans="1:5" ht="12.75">
      <c r="A25" s="109" t="s">
        <v>126</v>
      </c>
      <c r="B25" s="109">
        <f>Sammanst!F13</f>
        <v>2111</v>
      </c>
      <c r="C25" s="110">
        <f>B25/$B$47</f>
        <v>0.24973382231160535</v>
      </c>
      <c r="D25" s="109">
        <f aca="true" t="shared" si="3" ref="D25:D31">$B$22*C25</f>
        <v>1009.923577428132</v>
      </c>
      <c r="E25" s="109">
        <f aca="true" t="shared" si="4" ref="E25:E31">B25+D25</f>
        <v>3120.923577428132</v>
      </c>
    </row>
    <row r="26" spans="1:5" ht="12.75">
      <c r="A26" s="109" t="s">
        <v>53</v>
      </c>
      <c r="B26" s="109">
        <f>Sammanst!F14</f>
        <v>3679</v>
      </c>
      <c r="C26" s="110">
        <f aca="true" t="shared" si="5" ref="C26:C31">B26/$B$17</f>
        <v>0.4352300958239678</v>
      </c>
      <c r="D26" s="109">
        <f t="shared" si="3"/>
        <v>1760.070507512126</v>
      </c>
      <c r="E26" s="109">
        <f t="shared" si="4"/>
        <v>5439.070507512126</v>
      </c>
    </row>
    <row r="27" spans="1:5" ht="12.75">
      <c r="A27" s="109" t="s">
        <v>54</v>
      </c>
      <c r="B27" s="109">
        <f>Sammanst!F15</f>
        <v>833</v>
      </c>
      <c r="C27" s="110">
        <f t="shared" si="5"/>
        <v>0.09854489530344257</v>
      </c>
      <c r="D27" s="109">
        <f t="shared" si="3"/>
        <v>398.51555660712177</v>
      </c>
      <c r="E27" s="109">
        <f t="shared" si="4"/>
        <v>1231.5155566071217</v>
      </c>
    </row>
    <row r="28" spans="1:5" ht="12.75">
      <c r="A28" s="109" t="s">
        <v>21</v>
      </c>
      <c r="B28" s="109">
        <f>Sammanst!F16</f>
        <v>40</v>
      </c>
      <c r="C28" s="110">
        <f t="shared" si="5"/>
        <v>0.004732047793682716</v>
      </c>
      <c r="D28" s="109">
        <f t="shared" si="3"/>
        <v>19.136401277652904</v>
      </c>
      <c r="E28" s="109">
        <f t="shared" si="4"/>
        <v>59.13640127765291</v>
      </c>
    </row>
    <row r="29" spans="1:5" ht="12.75">
      <c r="A29" s="109" t="s">
        <v>62</v>
      </c>
      <c r="B29" s="109">
        <f>Sammanst!F17</f>
        <v>1077</v>
      </c>
      <c r="C29" s="110">
        <f t="shared" si="5"/>
        <v>0.12741038684490713</v>
      </c>
      <c r="D29" s="109">
        <f t="shared" si="3"/>
        <v>515.2476044008044</v>
      </c>
      <c r="E29" s="109">
        <f t="shared" si="4"/>
        <v>1592.2476044008044</v>
      </c>
    </row>
    <row r="30" spans="1:5" ht="12.75">
      <c r="A30" s="109" t="s">
        <v>120</v>
      </c>
      <c r="B30" s="109">
        <f>Sammanst!F18</f>
        <v>50</v>
      </c>
      <c r="C30" s="110">
        <f t="shared" si="5"/>
        <v>0.0059150597421033955</v>
      </c>
      <c r="D30" s="109">
        <f t="shared" si="3"/>
        <v>23.92050159706613</v>
      </c>
      <c r="E30" s="109">
        <f t="shared" si="4"/>
        <v>73.92050159706613</v>
      </c>
    </row>
    <row r="31" spans="1:5" ht="12.75">
      <c r="A31" s="109" t="s">
        <v>63</v>
      </c>
      <c r="B31" s="109">
        <f>Sammanst!F19</f>
        <v>663</v>
      </c>
      <c r="C31" s="110">
        <f t="shared" si="5"/>
        <v>0.07843369218029102</v>
      </c>
      <c r="D31" s="109">
        <f t="shared" si="3"/>
        <v>317.1858511770969</v>
      </c>
      <c r="E31" s="109">
        <f t="shared" si="4"/>
        <v>980.1858511770969</v>
      </c>
    </row>
    <row r="32" spans="1:5" ht="12.75">
      <c r="A32" s="111" t="s">
        <v>124</v>
      </c>
      <c r="B32" s="111">
        <f>SUM(B25:B31)</f>
        <v>8453</v>
      </c>
      <c r="C32" s="112">
        <f>SUM(C25:C31)</f>
        <v>1</v>
      </c>
      <c r="D32" s="111">
        <f>SUM(D25:D31)</f>
        <v>4044</v>
      </c>
      <c r="E32" s="111">
        <f>SUM(E25:E31)</f>
        <v>12496.999999999998</v>
      </c>
    </row>
    <row r="34" spans="1:5" ht="12.75">
      <c r="A34" s="111"/>
      <c r="B34" s="111"/>
      <c r="C34" s="112"/>
      <c r="D34" s="111"/>
      <c r="E34" s="111"/>
    </row>
    <row r="35" spans="1:5" ht="12.75">
      <c r="A35" s="111"/>
      <c r="B35" s="111"/>
      <c r="C35" s="112"/>
      <c r="D35" s="111"/>
      <c r="E35" s="111"/>
    </row>
    <row r="36" spans="2:3" ht="25.5">
      <c r="B36" s="116" t="s">
        <v>231</v>
      </c>
      <c r="C36" s="117" t="s">
        <v>232</v>
      </c>
    </row>
    <row r="37" spans="1:3" ht="12.75">
      <c r="A37" s="109" t="s">
        <v>230</v>
      </c>
      <c r="B37" s="109">
        <f>Sammanst!F12-'Kultur gemensamt'!B62-'Kultur gemensamt'!B45-'Kultur gemensamt'!B24-'Kultur gemensamt'!B25-'Kultur gemensamt'!B26-'Kultur gemensamt'!B27</f>
        <v>1963</v>
      </c>
      <c r="C37" s="110">
        <f>B37/B3</f>
        <v>0.13575380359612724</v>
      </c>
    </row>
    <row r="39" spans="2:5" ht="12.75">
      <c r="B39" s="116" t="s">
        <v>227</v>
      </c>
      <c r="C39" s="116" t="s">
        <v>228</v>
      </c>
      <c r="D39" s="116" t="s">
        <v>234</v>
      </c>
      <c r="E39" s="116" t="s">
        <v>124</v>
      </c>
    </row>
    <row r="40" spans="1:5" ht="12.75">
      <c r="A40" s="109" t="s">
        <v>126</v>
      </c>
      <c r="B40" s="109">
        <f>Sammanst!F13</f>
        <v>2111</v>
      </c>
      <c r="C40" s="110">
        <f>B40/$B$47</f>
        <v>0.24973382231160535</v>
      </c>
      <c r="D40" s="109">
        <f aca="true" t="shared" si="6" ref="D40:D46">$B$37*C40</f>
        <v>490.22749319768127</v>
      </c>
      <c r="E40" s="109">
        <f>B40+D40</f>
        <v>2601.2274931976813</v>
      </c>
    </row>
    <row r="41" spans="1:5" ht="12.75">
      <c r="A41" s="109" t="s">
        <v>53</v>
      </c>
      <c r="B41" s="109">
        <f>Sammanst!F14</f>
        <v>3679</v>
      </c>
      <c r="C41" s="110">
        <f aca="true" t="shared" si="7" ref="C41:C46">B41/$B$17</f>
        <v>0.4352300958239678</v>
      </c>
      <c r="D41" s="109">
        <f t="shared" si="6"/>
        <v>854.3566781024489</v>
      </c>
      <c r="E41" s="109">
        <f aca="true" t="shared" si="8" ref="E41:E46">B41+D41</f>
        <v>4533.356678102449</v>
      </c>
    </row>
    <row r="42" spans="1:5" ht="12.75">
      <c r="A42" s="109" t="s">
        <v>54</v>
      </c>
      <c r="B42" s="109">
        <f>Sammanst!F15</f>
        <v>833</v>
      </c>
      <c r="C42" s="110">
        <f t="shared" si="7"/>
        <v>0.09854489530344257</v>
      </c>
      <c r="D42" s="109">
        <f t="shared" si="6"/>
        <v>193.44362948065776</v>
      </c>
      <c r="E42" s="109">
        <f t="shared" si="8"/>
        <v>1026.4436294806578</v>
      </c>
    </row>
    <row r="43" spans="1:5" ht="12.75">
      <c r="A43" s="109" t="s">
        <v>21</v>
      </c>
      <c r="B43" s="109">
        <f>Sammanst!F16</f>
        <v>40</v>
      </c>
      <c r="C43" s="110">
        <f t="shared" si="7"/>
        <v>0.004732047793682716</v>
      </c>
      <c r="D43" s="109">
        <f t="shared" si="6"/>
        <v>9.289009818999173</v>
      </c>
      <c r="E43" s="109">
        <f t="shared" si="8"/>
        <v>49.289009818999176</v>
      </c>
    </row>
    <row r="44" spans="1:5" ht="12.75">
      <c r="A44" s="109" t="s">
        <v>62</v>
      </c>
      <c r="B44" s="109">
        <f>Sammanst!F17</f>
        <v>1077</v>
      </c>
      <c r="C44" s="110">
        <f t="shared" si="7"/>
        <v>0.12741038684490713</v>
      </c>
      <c r="D44" s="109">
        <f t="shared" si="6"/>
        <v>250.1065893765527</v>
      </c>
      <c r="E44" s="109">
        <f t="shared" si="8"/>
        <v>1327.1065893765526</v>
      </c>
    </row>
    <row r="45" spans="1:5" ht="12.75">
      <c r="A45" s="109" t="s">
        <v>120</v>
      </c>
      <c r="B45" s="109">
        <f>Sammanst!F18</f>
        <v>50</v>
      </c>
      <c r="C45" s="110">
        <f t="shared" si="7"/>
        <v>0.0059150597421033955</v>
      </c>
      <c r="D45" s="109">
        <f t="shared" si="6"/>
        <v>11.611262273748965</v>
      </c>
      <c r="E45" s="109">
        <f t="shared" si="8"/>
        <v>61.61126227374896</v>
      </c>
    </row>
    <row r="46" spans="1:5" ht="12.75">
      <c r="A46" s="109" t="s">
        <v>63</v>
      </c>
      <c r="B46" s="109">
        <f>Sammanst!F19</f>
        <v>663</v>
      </c>
      <c r="C46" s="110">
        <f t="shared" si="7"/>
        <v>0.07843369218029102</v>
      </c>
      <c r="D46" s="109">
        <f t="shared" si="6"/>
        <v>153.96533774991127</v>
      </c>
      <c r="E46" s="109">
        <f t="shared" si="8"/>
        <v>816.9653377499112</v>
      </c>
    </row>
    <row r="47" spans="1:5" ht="12.75">
      <c r="A47" s="111" t="s">
        <v>124</v>
      </c>
      <c r="B47" s="111">
        <f>SUM(B40:B46)</f>
        <v>8453</v>
      </c>
      <c r="C47" s="112">
        <f>SUM(C40:C46)</f>
        <v>1</v>
      </c>
      <c r="D47" s="111">
        <f>SUM(D40:D46)</f>
        <v>1962.9999999999998</v>
      </c>
      <c r="E47" s="111">
        <f>SUM(E40:E46)</f>
        <v>10416.000000000002</v>
      </c>
    </row>
  </sheetData>
  <printOptions/>
  <pageMargins left="0.7874015748031497" right="0" top="1.3779527559055118" bottom="0.1968503937007874" header="0.5118110236220472" footer="0.5118110236220472"/>
  <pageSetup horizontalDpi="600" verticalDpi="600" orientation="portrait" paperSize="9" r:id="rId1"/>
  <headerFooter alignWithMargins="0">
    <oddHeader>&amp;L&amp;"Times New RomanVFet"&amp;12NACKA KOMMUN&amp;"Times New Roman,NormalVNormal"
Kultur Nacka</oddHeader>
    <oddFooter>&amp;L&amp;4&amp;F&amp;A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26" sqref="A26"/>
    </sheetView>
  </sheetViews>
  <sheetFormatPr defaultColWidth="9.140625" defaultRowHeight="12.75"/>
  <cols>
    <col min="1" max="1" width="27.57421875" style="109" customWidth="1"/>
    <col min="2" max="2" width="9.140625" style="109" customWidth="1"/>
    <col min="3" max="3" width="11.28125" style="109" customWidth="1"/>
    <col min="4" max="4" width="9.140625" style="109" customWidth="1"/>
    <col min="5" max="5" width="11.57421875" style="109" bestFit="1" customWidth="1"/>
    <col min="6" max="6" width="10.00390625" style="109" bestFit="1" customWidth="1"/>
    <col min="7" max="16384" width="9.140625" style="109" customWidth="1"/>
  </cols>
  <sheetData>
    <row r="1" s="134" customFormat="1" ht="18.75">
      <c r="A1" s="133" t="s">
        <v>268</v>
      </c>
    </row>
    <row r="2" s="134" customFormat="1" ht="12.75"/>
    <row r="3" spans="3:4" s="134" customFormat="1" ht="12.75">
      <c r="C3" s="137" t="s">
        <v>255</v>
      </c>
      <c r="D3" s="139" t="s">
        <v>13</v>
      </c>
    </row>
    <row r="4" spans="2:8" s="134" customFormat="1" ht="12.75">
      <c r="B4" s="137" t="s">
        <v>254</v>
      </c>
      <c r="C4" s="138">
        <v>0.0113</v>
      </c>
      <c r="D4" s="138">
        <v>0.3957</v>
      </c>
      <c r="E4" s="137" t="s">
        <v>273</v>
      </c>
      <c r="F4" s="137" t="s">
        <v>256</v>
      </c>
      <c r="G4" s="135"/>
      <c r="H4" s="135"/>
    </row>
    <row r="5" spans="1:6" s="134" customFormat="1" ht="12.75">
      <c r="A5" s="134" t="s">
        <v>68</v>
      </c>
      <c r="B5" s="134">
        <v>20250</v>
      </c>
      <c r="C5" s="134">
        <f>B5*C4</f>
        <v>228.825</v>
      </c>
      <c r="D5" s="134">
        <f>(B5+C5)*D4</f>
        <v>8103.4710525</v>
      </c>
      <c r="E5" s="134">
        <f>SUM(B5:D5)</f>
        <v>28582.2960525</v>
      </c>
      <c r="F5" s="134">
        <f>E5*12</f>
        <v>342987.55263000005</v>
      </c>
    </row>
    <row r="6" s="134" customFormat="1" ht="12.75"/>
    <row r="7" spans="1:2" s="134" customFormat="1" ht="12.75">
      <c r="A7" s="136" t="s">
        <v>257</v>
      </c>
      <c r="B7" s="137" t="s">
        <v>269</v>
      </c>
    </row>
    <row r="8" spans="1:2" s="134" customFormat="1" ht="12.75">
      <c r="A8" s="134" t="s">
        <v>278</v>
      </c>
      <c r="B8" s="134">
        <v>22500</v>
      </c>
    </row>
    <row r="9" spans="1:2" s="134" customFormat="1" ht="12.75">
      <c r="A9" s="134" t="s">
        <v>258</v>
      </c>
      <c r="B9" s="134">
        <v>2200</v>
      </c>
    </row>
    <row r="10" spans="1:2" s="134" customFormat="1" ht="12.75">
      <c r="A10" s="134" t="s">
        <v>26</v>
      </c>
      <c r="B10" s="134">
        <v>5300</v>
      </c>
    </row>
    <row r="11" spans="1:2" s="134" customFormat="1" ht="12.75">
      <c r="A11" s="134" t="s">
        <v>259</v>
      </c>
      <c r="B11" s="134">
        <v>1800</v>
      </c>
    </row>
    <row r="12" spans="1:2" s="134" customFormat="1" ht="12.75">
      <c r="A12" s="134" t="s">
        <v>260</v>
      </c>
      <c r="B12" s="134">
        <v>1000</v>
      </c>
    </row>
    <row r="13" spans="1:2" s="134" customFormat="1" ht="12.75">
      <c r="A13" s="134" t="s">
        <v>277</v>
      </c>
      <c r="B13" s="134">
        <v>3000</v>
      </c>
    </row>
    <row r="14" spans="1:2" s="134" customFormat="1" ht="12.75">
      <c r="A14" s="134" t="s">
        <v>276</v>
      </c>
      <c r="B14" s="134">
        <v>1500</v>
      </c>
    </row>
    <row r="15" spans="1:2" s="134" customFormat="1" ht="12.75">
      <c r="A15" s="134" t="s">
        <v>261</v>
      </c>
      <c r="B15" s="134">
        <v>8000</v>
      </c>
    </row>
    <row r="16" spans="1:2" s="134" customFormat="1" ht="12.75">
      <c r="A16" s="134" t="s">
        <v>15</v>
      </c>
      <c r="B16" s="134">
        <v>5300</v>
      </c>
    </row>
    <row r="17" spans="1:2" s="134" customFormat="1" ht="12.75">
      <c r="A17" s="134" t="s">
        <v>279</v>
      </c>
      <c r="B17" s="134">
        <v>3900</v>
      </c>
    </row>
    <row r="18" spans="1:2" s="134" customFormat="1" ht="12.75">
      <c r="A18" s="134" t="s">
        <v>262</v>
      </c>
      <c r="B18" s="134">
        <v>5300</v>
      </c>
    </row>
    <row r="19" spans="1:2" s="134" customFormat="1" ht="12.75">
      <c r="A19" s="134" t="s">
        <v>263</v>
      </c>
      <c r="B19" s="134">
        <v>1200</v>
      </c>
    </row>
    <row r="20" spans="1:2" s="134" customFormat="1" ht="12.75">
      <c r="A20" s="134" t="s">
        <v>275</v>
      </c>
      <c r="B20" s="134">
        <v>12200</v>
      </c>
    </row>
    <row r="21" spans="1:2" s="134" customFormat="1" ht="12.75">
      <c r="A21" s="134" t="s">
        <v>264</v>
      </c>
      <c r="B21" s="134">
        <v>10800</v>
      </c>
    </row>
    <row r="22" spans="1:2" s="134" customFormat="1" ht="12.75">
      <c r="A22" s="134" t="s">
        <v>280</v>
      </c>
      <c r="B22" s="134">
        <v>20400</v>
      </c>
    </row>
    <row r="23" spans="1:3" s="134" customFormat="1" ht="12.75">
      <c r="A23" s="136" t="s">
        <v>274</v>
      </c>
      <c r="B23" s="136">
        <f>SUM(B8:B22)</f>
        <v>104400</v>
      </c>
      <c r="C23" s="136"/>
    </row>
    <row r="24" spans="1:2" s="134" customFormat="1" ht="12.75">
      <c r="A24" s="134" t="s">
        <v>265</v>
      </c>
      <c r="B24" s="134">
        <f>F5</f>
        <v>342987.55263000005</v>
      </c>
    </row>
    <row r="25" spans="1:2" s="134" customFormat="1" ht="12.75">
      <c r="A25" s="136" t="s">
        <v>71</v>
      </c>
      <c r="B25" s="136">
        <f>SUM(B23:B24)</f>
        <v>447387.55263000005</v>
      </c>
    </row>
    <row r="26" spans="1:2" s="134" customFormat="1" ht="12.75">
      <c r="A26" s="134" t="s">
        <v>266</v>
      </c>
      <c r="B26" s="134">
        <f>$B$25/1126</f>
        <v>397.32464709591477</v>
      </c>
    </row>
    <row r="27" spans="1:2" s="134" customFormat="1" ht="12.75">
      <c r="A27" s="134" t="s">
        <v>267</v>
      </c>
      <c r="B27" s="134">
        <f>$B$25/1386</f>
        <v>322.79044201298706</v>
      </c>
    </row>
    <row r="28" s="134" customFormat="1" ht="12.75"/>
    <row r="29" spans="1:2" s="134" customFormat="1" ht="12.75">
      <c r="A29" s="136" t="s">
        <v>272</v>
      </c>
      <c r="B29" s="134">
        <v>1732</v>
      </c>
    </row>
    <row r="30" spans="1:2" s="134" customFormat="1" ht="12.75">
      <c r="A30" s="134" t="s">
        <v>270</v>
      </c>
      <c r="B30" s="134">
        <v>1126</v>
      </c>
    </row>
    <row r="31" spans="1:2" s="134" customFormat="1" ht="12.75">
      <c r="A31" s="134" t="s">
        <v>271</v>
      </c>
      <c r="B31" s="134">
        <v>1386</v>
      </c>
    </row>
    <row r="32" s="134" customFormat="1" ht="12.75"/>
    <row r="33" spans="1:2" s="134" customFormat="1" ht="12.75">
      <c r="A33" s="134" t="s">
        <v>281</v>
      </c>
      <c r="B33" s="140">
        <v>1.8</v>
      </c>
    </row>
    <row r="34" spans="1:2" s="134" customFormat="1" ht="12.75">
      <c r="A34" s="134" t="s">
        <v>282</v>
      </c>
      <c r="B34" s="140">
        <v>2.4</v>
      </c>
    </row>
    <row r="35" spans="1:2" s="134" customFormat="1" ht="12.75">
      <c r="A35" s="134" t="s">
        <v>283</v>
      </c>
      <c r="B35" s="140">
        <v>1.2</v>
      </c>
    </row>
    <row r="36" s="134" customFormat="1" ht="12.75"/>
    <row r="37" spans="1:2" s="134" customFormat="1" ht="12.75">
      <c r="A37" s="134" t="s">
        <v>284</v>
      </c>
      <c r="B37" s="134">
        <v>75</v>
      </c>
    </row>
    <row r="38" s="134" customFormat="1" ht="12.75"/>
    <row r="39" s="134" customFormat="1" ht="12.75">
      <c r="A39" s="134" t="s">
        <v>285</v>
      </c>
    </row>
    <row r="40" s="134" customFormat="1" ht="12.75"/>
    <row r="41" s="134" customFormat="1" ht="12.75"/>
    <row r="42" s="134" customFormat="1" ht="12.75"/>
    <row r="43" s="134" customFormat="1" ht="12.75"/>
    <row r="44" s="134" customFormat="1" ht="12.75"/>
    <row r="45" s="134" customFormat="1" ht="12.75"/>
    <row r="46" s="134" customFormat="1" ht="12.75"/>
    <row r="47" s="134" customFormat="1" ht="12.75"/>
    <row r="48" s="134" customFormat="1" ht="12.75"/>
    <row r="49" s="134" customFormat="1" ht="12.75"/>
    <row r="50" s="134" customFormat="1" ht="12.75"/>
    <row r="51" s="134" customFormat="1" ht="12.75"/>
    <row r="52" s="134" customFormat="1" ht="12.75"/>
    <row r="53" s="134" customFormat="1" ht="12.75"/>
    <row r="54" s="134" customFormat="1" ht="12.75"/>
    <row r="55" s="134" customFormat="1" ht="12.75"/>
    <row r="56" s="134" customFormat="1" ht="12.75"/>
    <row r="57" s="134" customFormat="1" ht="12.75"/>
    <row r="58" s="134" customFormat="1" ht="12.75"/>
    <row r="59" s="134" customFormat="1" ht="12.75"/>
    <row r="60" s="134" customFormat="1" ht="12.75"/>
    <row r="61" s="134" customFormat="1" ht="12.75"/>
    <row r="62" s="134" customFormat="1" ht="12.75"/>
    <row r="63" s="134" customFormat="1" ht="12.75"/>
    <row r="64" s="134" customFormat="1" ht="12.75"/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  <row r="110" s="134" customFormat="1" ht="12.75"/>
    <row r="111" s="134" customFormat="1" ht="12.75"/>
    <row r="112" s="134" customFormat="1" ht="12.75"/>
    <row r="113" s="134" customFormat="1" ht="12.75"/>
    <row r="114" s="134" customFormat="1" ht="12.75"/>
    <row r="115" s="134" customFormat="1" ht="12.75"/>
    <row r="116" s="134" customFormat="1" ht="12.75"/>
    <row r="117" s="134" customFormat="1" ht="12.75"/>
    <row r="118" s="134" customFormat="1" ht="12.75"/>
    <row r="119" s="134" customFormat="1" ht="12.75"/>
    <row r="120" s="134" customFormat="1" ht="12.75"/>
    <row r="121" s="134" customFormat="1" ht="12.75"/>
    <row r="122" s="134" customFormat="1" ht="12.75"/>
    <row r="123" s="134" customFormat="1" ht="12.75"/>
    <row r="124" s="134" customFormat="1" ht="12.75"/>
    <row r="125" s="134" customFormat="1" ht="12.75"/>
    <row r="126" s="134" customFormat="1" ht="12.75"/>
    <row r="127" s="134" customFormat="1" ht="12.75"/>
    <row r="128" s="134" customFormat="1" ht="12.75"/>
    <row r="129" s="134" customFormat="1" ht="12.75"/>
    <row r="130" s="134" customFormat="1" ht="12.75"/>
    <row r="131" s="134" customFormat="1" ht="12.75"/>
    <row r="132" s="134" customFormat="1" ht="12.75"/>
    <row r="133" s="134" customFormat="1" ht="12.75"/>
    <row r="134" s="134" customFormat="1" ht="12.75"/>
    <row r="135" s="134" customFormat="1" ht="12.75"/>
    <row r="136" s="134" customFormat="1" ht="12.75"/>
    <row r="137" s="134" customFormat="1" ht="12.75"/>
    <row r="138" s="134" customFormat="1" ht="12.75"/>
    <row r="139" s="134" customFormat="1" ht="12.75"/>
    <row r="140" s="134" customFormat="1" ht="12.75"/>
    <row r="141" s="134" customFormat="1" ht="12.75"/>
    <row r="142" s="134" customFormat="1" ht="12.75"/>
    <row r="143" s="134" customFormat="1" ht="12.75"/>
    <row r="144" s="134" customFormat="1" ht="12.75"/>
    <row r="145" s="134" customFormat="1" ht="12.75"/>
    <row r="146" s="134" customFormat="1" ht="12.75"/>
    <row r="147" s="134" customFormat="1" ht="12.75"/>
    <row r="148" s="134" customFormat="1" ht="12.75"/>
    <row r="149" s="134" customFormat="1" ht="12.75"/>
    <row r="150" s="134" customFormat="1" ht="12.75"/>
    <row r="151" s="134" customFormat="1" ht="12.75"/>
    <row r="152" s="134" customFormat="1" ht="12.75"/>
    <row r="153" s="134" customFormat="1" ht="12.75"/>
    <row r="154" s="134" customFormat="1" ht="12.75"/>
    <row r="155" s="134" customFormat="1" ht="12.75"/>
    <row r="156" s="134" customFormat="1" ht="12.75"/>
    <row r="157" s="134" customFormat="1" ht="12.75"/>
    <row r="158" s="134" customFormat="1" ht="12.75"/>
    <row r="159" s="134" customFormat="1" ht="12.75"/>
    <row r="160" s="134" customFormat="1" ht="12.75"/>
    <row r="161" s="134" customFormat="1" ht="12.75"/>
    <row r="162" s="134" customFormat="1" ht="12.75"/>
    <row r="163" s="134" customFormat="1" ht="12.75"/>
    <row r="164" s="134" customFormat="1" ht="12.75"/>
    <row r="165" s="134" customFormat="1" ht="12.75"/>
    <row r="166" s="134" customFormat="1" ht="12.75"/>
    <row r="167" s="134" customFormat="1" ht="12.75"/>
    <row r="168" s="134" customFormat="1" ht="12.75"/>
    <row r="169" s="134" customFormat="1" ht="12.75"/>
    <row r="170" s="134" customFormat="1" ht="12.75"/>
    <row r="171" s="134" customFormat="1" ht="12.75"/>
    <row r="172" s="134" customFormat="1" ht="12.75"/>
    <row r="173" s="134" customFormat="1" ht="12.75"/>
    <row r="174" s="134" customFormat="1" ht="12.75"/>
    <row r="175" s="134" customFormat="1" ht="12.75"/>
    <row r="176" s="134" customFormat="1" ht="12.75"/>
    <row r="177" s="134" customFormat="1" ht="12.75"/>
    <row r="178" s="134" customFormat="1" ht="12.75"/>
    <row r="179" s="134" customFormat="1" ht="12.75"/>
    <row r="180" s="134" customFormat="1" ht="12.75"/>
    <row r="181" s="134" customFormat="1" ht="12.75"/>
    <row r="182" s="134" customFormat="1" ht="12.75"/>
    <row r="183" s="134" customFormat="1" ht="12.75"/>
    <row r="184" s="134" customFormat="1" ht="12.75"/>
    <row r="185" s="134" customFormat="1" ht="12.75"/>
    <row r="186" s="134" customFormat="1" ht="12.75"/>
    <row r="187" s="134" customFormat="1" ht="12.75"/>
    <row r="188" s="134" customFormat="1" ht="12.75"/>
    <row r="189" s="134" customFormat="1" ht="12.75"/>
    <row r="190" s="134" customFormat="1" ht="12.75"/>
    <row r="191" s="134" customFormat="1" ht="12.75"/>
    <row r="192" s="134" customFormat="1" ht="12.75"/>
    <row r="193" s="134" customFormat="1" ht="12.75"/>
    <row r="194" s="134" customFormat="1" ht="12.75"/>
    <row r="195" s="134" customFormat="1" ht="12.75"/>
    <row r="196" s="134" customFormat="1" ht="12.75"/>
    <row r="197" s="134" customFormat="1" ht="12.75"/>
    <row r="198" s="134" customFormat="1" ht="12.75"/>
    <row r="199" s="134" customFormat="1" ht="12.75"/>
    <row r="200" s="134" customFormat="1" ht="12.75"/>
    <row r="201" s="134" customFormat="1" ht="12.75"/>
    <row r="202" s="134" customFormat="1" ht="12.75"/>
    <row r="203" s="134" customFormat="1" ht="12.75"/>
    <row r="204" s="134" customFormat="1" ht="12.75"/>
    <row r="205" s="134" customFormat="1" ht="12.75"/>
    <row r="206" s="134" customFormat="1" ht="12.75"/>
    <row r="207" s="134" customFormat="1" ht="12.75"/>
    <row r="208" s="134" customFormat="1" ht="12.75"/>
    <row r="209" s="134" customFormat="1" ht="12.75"/>
    <row r="210" s="134" customFormat="1" ht="12.75"/>
    <row r="211" s="134" customFormat="1" ht="12.75"/>
    <row r="212" s="134" customFormat="1" ht="12.75"/>
    <row r="213" s="134" customFormat="1" ht="12.75"/>
    <row r="214" s="134" customFormat="1" ht="12.75"/>
    <row r="215" s="134" customFormat="1" ht="12.75"/>
    <row r="216" s="134" customFormat="1" ht="12.75"/>
    <row r="217" s="134" customFormat="1" ht="12.75"/>
    <row r="218" s="134" customFormat="1" ht="12.75"/>
    <row r="219" s="134" customFormat="1" ht="12.75"/>
    <row r="220" s="134" customFormat="1" ht="12.75"/>
    <row r="221" s="134" customFormat="1" ht="12.75"/>
    <row r="222" s="134" customFormat="1" ht="12.75"/>
    <row r="223" s="134" customFormat="1" ht="12.75"/>
    <row r="224" s="134" customFormat="1" ht="12.75"/>
    <row r="225" s="134" customFormat="1" ht="12.75"/>
    <row r="226" s="134" customFormat="1" ht="12.75"/>
    <row r="227" s="134" customFormat="1" ht="12.75"/>
    <row r="228" s="134" customFormat="1" ht="12.75"/>
    <row r="229" s="134" customFormat="1" ht="12.75"/>
    <row r="230" s="134" customFormat="1" ht="12.75"/>
    <row r="231" s="134" customFormat="1" ht="12.75"/>
    <row r="232" s="134" customFormat="1" ht="12.75"/>
    <row r="233" s="134" customFormat="1" ht="12.75"/>
    <row r="234" s="134" customFormat="1" ht="12.75"/>
    <row r="235" s="134" customFormat="1" ht="12.75"/>
    <row r="236" s="134" customFormat="1" ht="12.75"/>
    <row r="237" s="134" customFormat="1" ht="12.75"/>
  </sheetData>
  <printOptions/>
  <pageMargins left="0.7874015748031497" right="0" top="1.3779527559055118" bottom="0.1968503937007874" header="0.5118110236220472" footer="0.5118110236220472"/>
  <pageSetup horizontalDpi="600" verticalDpi="600" orientation="portrait" paperSize="9" r:id="rId1"/>
  <headerFooter alignWithMargins="0">
    <oddHeader>&amp;L&amp;"Times New RomanVFet"&amp;12NACKA KOMMUN&amp;"Times New Roman,NormalVNormal"
Kultur Nacka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25"/>
  <sheetViews>
    <sheetView showZeros="0" tabSelected="1" workbookViewId="0" topLeftCell="B11">
      <selection activeCell="H20" sqref="H20"/>
    </sheetView>
  </sheetViews>
  <sheetFormatPr defaultColWidth="9.140625" defaultRowHeight="24.75" customHeight="1"/>
  <cols>
    <col min="1" max="1" width="6.8515625" style="1" customWidth="1"/>
    <col min="2" max="2" width="30.421875" style="1" customWidth="1"/>
    <col min="3" max="3" width="13.28125" style="1" customWidth="1"/>
    <col min="4" max="4" width="4.140625" style="1" customWidth="1"/>
    <col min="5" max="5" width="32.140625" style="1" customWidth="1"/>
    <col min="6" max="6" width="11.28125" style="1" customWidth="1"/>
    <col min="7" max="16384" width="8.8515625" style="1" customWidth="1"/>
  </cols>
  <sheetData>
    <row r="4" spans="2:6" ht="30.75">
      <c r="B4" s="2" t="s">
        <v>286</v>
      </c>
      <c r="C4" s="40"/>
      <c r="D4" s="3"/>
      <c r="E4" s="3"/>
      <c r="F4" s="3"/>
    </row>
    <row r="5" spans="2:6" ht="24.75" customHeight="1">
      <c r="B5" s="3"/>
      <c r="C5" s="3"/>
      <c r="D5" s="3"/>
      <c r="E5" s="3"/>
      <c r="F5" s="3"/>
    </row>
    <row r="6" spans="2:6" ht="24.75" customHeight="1">
      <c r="B6" s="3"/>
      <c r="F6" s="3"/>
    </row>
    <row r="7" ht="24.75" customHeight="1">
      <c r="B7" s="40" t="s">
        <v>51</v>
      </c>
    </row>
    <row r="8" spans="2:3" ht="24.75" customHeight="1">
      <c r="B8" s="4"/>
      <c r="C8" s="5"/>
    </row>
    <row r="11" spans="2:6" ht="22.5" customHeight="1">
      <c r="B11" s="92" t="s">
        <v>2</v>
      </c>
      <c r="C11" s="7" t="s">
        <v>1</v>
      </c>
      <c r="D11" s="8"/>
      <c r="E11" s="93" t="s">
        <v>0</v>
      </c>
      <c r="F11" s="7" t="s">
        <v>1</v>
      </c>
    </row>
    <row r="12" spans="2:6" ht="24" customHeight="1">
      <c r="B12" s="14" t="s">
        <v>52</v>
      </c>
      <c r="C12" s="9">
        <f>'Kultur gemensamt'!B15</f>
        <v>5781</v>
      </c>
      <c r="D12" s="5"/>
      <c r="E12" s="14" t="s">
        <v>52</v>
      </c>
      <c r="F12" s="9">
        <f>'Kultur gemensamt'!B78</f>
        <v>6007</v>
      </c>
    </row>
    <row r="13" spans="2:6" ht="24" customHeight="1">
      <c r="B13" s="14" t="s">
        <v>126</v>
      </c>
      <c r="C13" s="9">
        <f>Kulturupplevelser!B23</f>
        <v>1961</v>
      </c>
      <c r="D13" s="5"/>
      <c r="E13" s="14" t="s">
        <v>126</v>
      </c>
      <c r="F13" s="10">
        <f>Kulturupplevelser!B50</f>
        <v>2111</v>
      </c>
    </row>
    <row r="14" spans="2:6" ht="24" customHeight="1">
      <c r="B14" s="14" t="s">
        <v>53</v>
      </c>
      <c r="C14" s="10">
        <f>'Skapande verksamhet'!B40</f>
        <v>3218.645</v>
      </c>
      <c r="E14" s="14" t="s">
        <v>53</v>
      </c>
      <c r="F14" s="11">
        <f>'Skapande verksamhet'!B124</f>
        <v>3679</v>
      </c>
    </row>
    <row r="15" spans="2:6" ht="24" customHeight="1">
      <c r="B15" s="15" t="s">
        <v>54</v>
      </c>
      <c r="C15" s="9">
        <f>'Arkiv och museum'!B12</f>
        <v>833</v>
      </c>
      <c r="D15" s="6"/>
      <c r="E15" s="15" t="s">
        <v>54</v>
      </c>
      <c r="F15" s="12">
        <f>'Arkiv och museum'!B38</f>
        <v>833</v>
      </c>
    </row>
    <row r="16" spans="2:6" ht="24" customHeight="1">
      <c r="B16" s="15" t="s">
        <v>21</v>
      </c>
      <c r="C16" s="9">
        <f>'Kultur i vården'!B10</f>
        <v>40</v>
      </c>
      <c r="D16" s="6"/>
      <c r="E16" s="15" t="s">
        <v>21</v>
      </c>
      <c r="F16" s="12">
        <f>'Kultur i vården'!B27</f>
        <v>40</v>
      </c>
    </row>
    <row r="17" spans="2:6" ht="24" customHeight="1">
      <c r="B17" s="14" t="s">
        <v>62</v>
      </c>
      <c r="C17" s="9">
        <f>Konst!B14</f>
        <v>984</v>
      </c>
      <c r="D17" s="6"/>
      <c r="E17" s="14" t="s">
        <v>62</v>
      </c>
      <c r="F17" s="11">
        <f>Konst!B41</f>
        <v>1077</v>
      </c>
    </row>
    <row r="18" spans="2:6" ht="24" customHeight="1">
      <c r="B18" s="14" t="s">
        <v>120</v>
      </c>
      <c r="C18" s="9">
        <f>Föreningsbidrag!B11</f>
        <v>50</v>
      </c>
      <c r="D18" s="6"/>
      <c r="E18" s="14" t="s">
        <v>120</v>
      </c>
      <c r="F18" s="11">
        <f>Föreningsbidrag!B30</f>
        <v>50</v>
      </c>
    </row>
    <row r="19" spans="2:6" ht="24" customHeight="1">
      <c r="B19" s="14" t="s">
        <v>63</v>
      </c>
      <c r="C19" s="9">
        <f>'Reception och konferens'!B13</f>
        <v>663</v>
      </c>
      <c r="D19" s="6"/>
      <c r="E19" s="14" t="s">
        <v>63</v>
      </c>
      <c r="F19" s="11">
        <f>'Reception och konferens'!B36</f>
        <v>663</v>
      </c>
    </row>
    <row r="20" spans="2:6" ht="24" customHeight="1">
      <c r="B20" s="165" t="s">
        <v>316</v>
      </c>
      <c r="C20" s="166">
        <f>Uppdragsverksamhet!B13</f>
        <v>80</v>
      </c>
      <c r="D20" s="6"/>
      <c r="E20" s="165" t="s">
        <v>316</v>
      </c>
      <c r="F20" s="167">
        <f>Uppdragsverksamhet!B35</f>
        <v>90</v>
      </c>
    </row>
    <row r="21" spans="2:6" ht="24" customHeight="1">
      <c r="B21" s="14" t="s">
        <v>319</v>
      </c>
      <c r="C21" s="164">
        <f>'Fördelning överskott från 2000'!B17-115</f>
        <v>868</v>
      </c>
      <c r="D21" s="6"/>
      <c r="E21" s="14"/>
      <c r="F21" s="11"/>
    </row>
    <row r="22" spans="2:6" ht="24" customHeight="1">
      <c r="B22" s="13" t="s">
        <v>4</v>
      </c>
      <c r="C22" s="13">
        <f>SUM(C12:C21)</f>
        <v>14478.645</v>
      </c>
      <c r="E22" s="13" t="s">
        <v>3</v>
      </c>
      <c r="F22" s="13">
        <f>SUM(F12:F21)</f>
        <v>14550</v>
      </c>
    </row>
    <row r="23" spans="2:6" ht="27.75" customHeight="1">
      <c r="B23" s="6"/>
      <c r="C23" s="6"/>
      <c r="E23" s="6"/>
      <c r="F23" s="6"/>
    </row>
    <row r="24" ht="18" customHeight="1"/>
    <row r="25" spans="2:3" ht="24" customHeight="1">
      <c r="B25" s="6" t="s">
        <v>5</v>
      </c>
      <c r="C25" s="6">
        <f>F22-C22</f>
        <v>71.35499999999956</v>
      </c>
    </row>
    <row r="26" ht="18" customHeight="1"/>
    <row r="27" ht="18" customHeight="1"/>
    <row r="28" ht="18" customHeight="1"/>
  </sheetData>
  <printOptions/>
  <pageMargins left="0.1968503937007874" right="0" top="1.3779527559055118" bottom="0" header="0.5905511811023623" footer="0.5118110236220472"/>
  <pageSetup horizontalDpi="300" verticalDpi="300" orientation="portrait" paperSize="9" r:id="rId2"/>
  <headerFooter alignWithMargins="0">
    <oddHeader>&amp;L&amp;"Times New RomanVFet"&amp;12NACKA KOMMUN
&amp;"Times New RomanVNormal"Kultur Nacka&amp;"Times New RomanVFet"
&amp;CMBL-förhandlad 19  - 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78"/>
  <sheetViews>
    <sheetView workbookViewId="0" topLeftCell="A69">
      <selection activeCell="B76" sqref="B76"/>
    </sheetView>
  </sheetViews>
  <sheetFormatPr defaultColWidth="9.140625" defaultRowHeight="12.75"/>
  <cols>
    <col min="1" max="1" width="20.57421875" style="20" customWidth="1"/>
    <col min="2" max="2" width="12.28125" style="23" customWidth="1"/>
    <col min="3" max="3" width="10.00390625" style="20" bestFit="1" customWidth="1"/>
    <col min="4" max="4" width="6.421875" style="20" bestFit="1" customWidth="1"/>
    <col min="5" max="5" width="10.00390625" style="20" bestFit="1" customWidth="1"/>
    <col min="6" max="7" width="5.8515625" style="20" bestFit="1" customWidth="1"/>
    <col min="8" max="8" width="9.8515625" style="20" bestFit="1" customWidth="1"/>
    <col min="9" max="9" width="5.00390625" style="20" bestFit="1" customWidth="1"/>
    <col min="10" max="10" width="5.421875" style="20" bestFit="1" customWidth="1"/>
    <col min="11" max="16384" width="8.8515625" style="20" customWidth="1"/>
  </cols>
  <sheetData>
    <row r="1" ht="19.5" customHeight="1">
      <c r="B1" s="21"/>
    </row>
    <row r="2" ht="12.75">
      <c r="B2" s="21"/>
    </row>
    <row r="3" spans="1:255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40</v>
      </c>
      <c r="J3" s="49" t="s">
        <v>12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10" ht="19.5" customHeight="1">
      <c r="A4" s="16" t="s">
        <v>97</v>
      </c>
      <c r="B4" s="17">
        <f>B49</f>
        <v>406</v>
      </c>
      <c r="C4" s="18">
        <v>4641</v>
      </c>
      <c r="D4" s="19">
        <v>3614</v>
      </c>
      <c r="E4" s="18"/>
      <c r="F4" s="18">
        <v>327</v>
      </c>
      <c r="G4" s="18">
        <v>7</v>
      </c>
      <c r="H4" s="18"/>
      <c r="I4" s="18"/>
      <c r="J4" s="18">
        <v>4602</v>
      </c>
    </row>
    <row r="5" spans="1:10" ht="19.5" customHeight="1">
      <c r="A5" s="16" t="s">
        <v>96</v>
      </c>
      <c r="B5" s="17">
        <f>B19-100-10</f>
        <v>1555</v>
      </c>
      <c r="C5" s="18">
        <v>4641</v>
      </c>
      <c r="D5" s="19">
        <v>3614</v>
      </c>
      <c r="E5" s="18"/>
      <c r="F5" s="18">
        <v>327</v>
      </c>
      <c r="G5" s="18">
        <v>1</v>
      </c>
      <c r="H5" s="18"/>
      <c r="I5" s="18"/>
      <c r="J5" s="18">
        <v>4602</v>
      </c>
    </row>
    <row r="6" spans="1:10" ht="19.5" customHeight="1">
      <c r="A6" s="16" t="s">
        <v>98</v>
      </c>
      <c r="B6" s="17">
        <f>SUM(B63+B64+B65-B10-B11)</f>
        <v>3047</v>
      </c>
      <c r="C6" s="18">
        <v>4641</v>
      </c>
      <c r="D6" s="19">
        <v>3614</v>
      </c>
      <c r="E6" s="18"/>
      <c r="F6" s="18">
        <v>327</v>
      </c>
      <c r="G6" s="18">
        <v>8</v>
      </c>
      <c r="H6" s="18"/>
      <c r="I6" s="18"/>
      <c r="J6" s="18">
        <v>4602</v>
      </c>
    </row>
    <row r="7" spans="1:10" ht="19.5" customHeight="1">
      <c r="A7" s="16" t="s">
        <v>98</v>
      </c>
      <c r="B7" s="17">
        <f>SUM(B66:B68)</f>
        <v>100</v>
      </c>
      <c r="C7" s="18">
        <v>4949</v>
      </c>
      <c r="D7" s="19">
        <v>3614</v>
      </c>
      <c r="E7" s="18"/>
      <c r="F7" s="18">
        <v>327</v>
      </c>
      <c r="G7" s="18">
        <v>8</v>
      </c>
      <c r="H7" s="18"/>
      <c r="I7" s="18"/>
      <c r="J7" s="18">
        <v>4602</v>
      </c>
    </row>
    <row r="8" spans="1:10" ht="19.5" customHeight="1">
      <c r="A8" s="16" t="s">
        <v>178</v>
      </c>
      <c r="B8" s="17">
        <f>B44-15</f>
        <v>175</v>
      </c>
      <c r="C8" s="18">
        <v>4647</v>
      </c>
      <c r="D8" s="19">
        <v>3614</v>
      </c>
      <c r="E8" s="18"/>
      <c r="F8" s="18">
        <v>327</v>
      </c>
      <c r="G8" s="18">
        <v>73</v>
      </c>
      <c r="H8" s="18"/>
      <c r="I8" s="18"/>
      <c r="J8" s="18">
        <v>4602</v>
      </c>
    </row>
    <row r="9" spans="1:10" ht="19.5" customHeight="1">
      <c r="A9" s="160" t="s">
        <v>180</v>
      </c>
      <c r="B9" s="149">
        <f>B70-45-71</f>
        <v>273</v>
      </c>
      <c r="C9" s="159">
        <v>4641</v>
      </c>
      <c r="D9" s="159">
        <v>3614</v>
      </c>
      <c r="E9" s="159"/>
      <c r="F9" s="159">
        <v>327</v>
      </c>
      <c r="G9" s="159">
        <v>7</v>
      </c>
      <c r="H9" s="159"/>
      <c r="I9" s="159"/>
      <c r="J9" s="159">
        <v>4602</v>
      </c>
    </row>
    <row r="10" spans="1:10" ht="19.5" customHeight="1">
      <c r="A10" s="16" t="s">
        <v>116</v>
      </c>
      <c r="B10" s="17">
        <v>100</v>
      </c>
      <c r="C10" s="18">
        <v>4641</v>
      </c>
      <c r="D10" s="19">
        <v>3412</v>
      </c>
      <c r="E10" s="18"/>
      <c r="F10" s="18">
        <v>327</v>
      </c>
      <c r="G10" s="18">
        <v>82</v>
      </c>
      <c r="H10" s="18"/>
      <c r="I10" s="18"/>
      <c r="J10" s="18">
        <v>9</v>
      </c>
    </row>
    <row r="11" spans="1:10" ht="19.5" customHeight="1">
      <c r="A11" s="16" t="s">
        <v>100</v>
      </c>
      <c r="B11" s="17">
        <v>110</v>
      </c>
      <c r="C11" s="18">
        <v>4641</v>
      </c>
      <c r="D11" s="19">
        <v>3412</v>
      </c>
      <c r="E11" s="18"/>
      <c r="F11" s="18">
        <v>327</v>
      </c>
      <c r="G11" s="18">
        <v>82</v>
      </c>
      <c r="H11" s="18"/>
      <c r="I11" s="18"/>
      <c r="J11" s="18">
        <v>9</v>
      </c>
    </row>
    <row r="12" spans="1:10" ht="19.5" customHeight="1">
      <c r="A12" s="16" t="s">
        <v>179</v>
      </c>
      <c r="B12" s="17">
        <v>15</v>
      </c>
      <c r="C12" s="18">
        <v>4647</v>
      </c>
      <c r="D12" s="19">
        <v>362</v>
      </c>
      <c r="E12" s="18"/>
      <c r="F12" s="18">
        <v>327</v>
      </c>
      <c r="G12" s="18">
        <v>73</v>
      </c>
      <c r="H12" s="18"/>
      <c r="I12" s="18"/>
      <c r="J12" s="18">
        <v>97</v>
      </c>
    </row>
    <row r="13" spans="1:10" ht="19.5" customHeight="1">
      <c r="A13" s="16" t="s">
        <v>316</v>
      </c>
      <c r="B13" s="17"/>
      <c r="C13" s="18"/>
      <c r="D13" s="19"/>
      <c r="E13" s="18"/>
      <c r="F13" s="18"/>
      <c r="G13" s="18"/>
      <c r="H13" s="18"/>
      <c r="I13" s="18"/>
      <c r="J13" s="18"/>
    </row>
    <row r="14" spans="1:10" ht="19.5" customHeight="1">
      <c r="A14" s="16"/>
      <c r="B14" s="17"/>
      <c r="C14" s="18"/>
      <c r="D14" s="19"/>
      <c r="E14" s="18"/>
      <c r="F14" s="18"/>
      <c r="G14" s="18"/>
      <c r="H14" s="18"/>
      <c r="I14" s="18"/>
      <c r="J14" s="18"/>
    </row>
    <row r="15" spans="1:255" s="39" customFormat="1" ht="18.75" customHeight="1">
      <c r="A15" s="49" t="s">
        <v>4</v>
      </c>
      <c r="B15" s="48">
        <f>SUM(B4:B14)</f>
        <v>5781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" ht="19.5" customHeight="1">
      <c r="A16" s="42"/>
      <c r="B16" s="25"/>
    </row>
    <row r="17" spans="11:255" s="25" customFormat="1" ht="15"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24" customFormat="1" ht="18">
      <c r="A18" s="22" t="s">
        <v>0</v>
      </c>
      <c r="B18" s="48" t="s">
        <v>6</v>
      </c>
      <c r="C18" s="49" t="s">
        <v>7</v>
      </c>
      <c r="D18" s="49" t="s">
        <v>39</v>
      </c>
      <c r="E18" s="49" t="s">
        <v>8</v>
      </c>
      <c r="F18" s="49" t="s">
        <v>9</v>
      </c>
      <c r="G18" s="49" t="s">
        <v>10</v>
      </c>
      <c r="H18" s="49" t="s">
        <v>11</v>
      </c>
      <c r="I18" s="49" t="s">
        <v>40</v>
      </c>
      <c r="J18" s="49" t="s">
        <v>12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39" customFormat="1" ht="19.5" customHeight="1">
      <c r="A19" s="52" t="s">
        <v>31</v>
      </c>
      <c r="B19" s="47">
        <f>SUM(B20:B33)</f>
        <v>1665</v>
      </c>
      <c r="C19" s="41"/>
      <c r="D19" s="41"/>
      <c r="E19" s="41"/>
      <c r="F19" s="41"/>
      <c r="G19" s="41"/>
      <c r="H19" s="41"/>
      <c r="I19" s="41"/>
      <c r="J19" s="4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30" customFormat="1" ht="19.5" customHeight="1">
      <c r="A20" s="16" t="s">
        <v>118</v>
      </c>
      <c r="B20" s="39">
        <v>356</v>
      </c>
      <c r="C20" s="27">
        <v>4641</v>
      </c>
      <c r="D20" s="28">
        <v>4</v>
      </c>
      <c r="E20" s="27"/>
      <c r="F20" s="18">
        <v>327</v>
      </c>
      <c r="G20" s="18">
        <v>11</v>
      </c>
      <c r="H20" s="18"/>
      <c r="I20" s="18"/>
      <c r="J20" s="27">
        <v>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10" ht="19.5" customHeight="1">
      <c r="A21" s="65" t="s">
        <v>13</v>
      </c>
      <c r="B21" s="27">
        <v>138</v>
      </c>
      <c r="C21" s="27">
        <v>4641</v>
      </c>
      <c r="D21" s="28">
        <v>4</v>
      </c>
      <c r="E21" s="27"/>
      <c r="F21" s="18">
        <v>327</v>
      </c>
      <c r="G21" s="18">
        <v>11</v>
      </c>
      <c r="H21" s="18"/>
      <c r="I21" s="18"/>
      <c r="J21" s="27">
        <v>9</v>
      </c>
    </row>
    <row r="22" spans="1:10" ht="19.5" customHeight="1">
      <c r="A22" s="65" t="s">
        <v>56</v>
      </c>
      <c r="B22" s="27">
        <v>211</v>
      </c>
      <c r="C22" s="27">
        <v>4641</v>
      </c>
      <c r="D22" s="28">
        <v>4</v>
      </c>
      <c r="E22" s="27"/>
      <c r="F22" s="18">
        <v>327</v>
      </c>
      <c r="G22" s="18">
        <v>117</v>
      </c>
      <c r="H22" s="18"/>
      <c r="I22" s="18"/>
      <c r="J22" s="27">
        <v>9</v>
      </c>
    </row>
    <row r="23" spans="1:10" ht="19.5" customHeight="1">
      <c r="A23" s="65" t="s">
        <v>13</v>
      </c>
      <c r="B23" s="27">
        <v>81</v>
      </c>
      <c r="C23" s="27">
        <v>4641</v>
      </c>
      <c r="D23" s="28">
        <v>4</v>
      </c>
      <c r="E23" s="27"/>
      <c r="F23" s="18">
        <v>327</v>
      </c>
      <c r="G23" s="18">
        <v>117</v>
      </c>
      <c r="H23" s="18"/>
      <c r="I23" s="18"/>
      <c r="J23" s="27">
        <v>9</v>
      </c>
    </row>
    <row r="24" spans="1:10" ht="19.5" customHeight="1">
      <c r="A24" s="26" t="s">
        <v>117</v>
      </c>
      <c r="B24" s="27">
        <v>200</v>
      </c>
      <c r="C24" s="27">
        <v>4641</v>
      </c>
      <c r="D24" s="28">
        <v>4</v>
      </c>
      <c r="E24" s="27"/>
      <c r="F24" s="18">
        <v>327</v>
      </c>
      <c r="G24" s="18">
        <v>117</v>
      </c>
      <c r="H24" s="18"/>
      <c r="I24" s="18"/>
      <c r="J24" s="27">
        <v>9</v>
      </c>
    </row>
    <row r="25" spans="1:10" ht="19.5" customHeight="1">
      <c r="A25" s="26" t="s">
        <v>13</v>
      </c>
      <c r="B25" s="27">
        <v>89</v>
      </c>
      <c r="C25" s="27">
        <v>4641</v>
      </c>
      <c r="D25" s="28">
        <v>4</v>
      </c>
      <c r="E25" s="27"/>
      <c r="F25" s="18">
        <v>327</v>
      </c>
      <c r="G25" s="18">
        <v>117</v>
      </c>
      <c r="H25" s="18"/>
      <c r="I25" s="18"/>
      <c r="J25" s="27">
        <v>9</v>
      </c>
    </row>
    <row r="26" spans="1:10" ht="19.5" customHeight="1">
      <c r="A26" s="26" t="s">
        <v>20</v>
      </c>
      <c r="B26" s="27">
        <v>215</v>
      </c>
      <c r="C26" s="27">
        <v>4641</v>
      </c>
      <c r="D26" s="28">
        <v>4</v>
      </c>
      <c r="E26" s="27"/>
      <c r="F26" s="18">
        <v>3271</v>
      </c>
      <c r="G26" s="18">
        <v>117</v>
      </c>
      <c r="H26" s="18"/>
      <c r="I26" s="18"/>
      <c r="J26" s="27">
        <v>9</v>
      </c>
    </row>
    <row r="27" spans="1:10" ht="19.5" customHeight="1">
      <c r="A27" s="26" t="s">
        <v>13</v>
      </c>
      <c r="B27" s="27">
        <v>83</v>
      </c>
      <c r="C27" s="27">
        <v>4641</v>
      </c>
      <c r="D27" s="28">
        <v>4</v>
      </c>
      <c r="E27" s="27"/>
      <c r="F27" s="18">
        <v>3271</v>
      </c>
      <c r="G27" s="18">
        <v>117</v>
      </c>
      <c r="H27" s="18"/>
      <c r="I27" s="18"/>
      <c r="J27" s="27">
        <v>9</v>
      </c>
    </row>
    <row r="28" spans="1:10" ht="19.5" customHeight="1">
      <c r="A28" s="26" t="s">
        <v>32</v>
      </c>
      <c r="B28" s="27">
        <v>130</v>
      </c>
      <c r="C28" s="27">
        <v>4641</v>
      </c>
      <c r="D28" s="28">
        <v>4</v>
      </c>
      <c r="E28" s="27"/>
      <c r="F28" s="18">
        <v>327</v>
      </c>
      <c r="G28" s="18">
        <v>13</v>
      </c>
      <c r="H28" s="18"/>
      <c r="I28" s="18"/>
      <c r="J28" s="27">
        <v>9</v>
      </c>
    </row>
    <row r="29" spans="1:10" ht="19.5" customHeight="1">
      <c r="A29" s="26" t="s">
        <v>139</v>
      </c>
      <c r="B29" s="17">
        <v>4</v>
      </c>
      <c r="C29" s="27">
        <v>4641</v>
      </c>
      <c r="D29" s="28">
        <v>4</v>
      </c>
      <c r="E29" s="27"/>
      <c r="F29" s="18">
        <v>327</v>
      </c>
      <c r="G29" s="18">
        <v>14</v>
      </c>
      <c r="H29" s="18"/>
      <c r="I29" s="18"/>
      <c r="J29" s="27">
        <v>9</v>
      </c>
    </row>
    <row r="30" spans="1:11" s="141" customFormat="1" ht="19.5" customHeight="1">
      <c r="A30" s="162" t="s">
        <v>140</v>
      </c>
      <c r="B30" s="155">
        <v>30</v>
      </c>
      <c r="C30" s="163">
        <v>4641</v>
      </c>
      <c r="D30" s="163">
        <v>4</v>
      </c>
      <c r="E30" s="163"/>
      <c r="F30" s="156">
        <v>327</v>
      </c>
      <c r="G30" s="156">
        <v>14</v>
      </c>
      <c r="H30" s="156"/>
      <c r="I30" s="156"/>
      <c r="J30" s="163">
        <v>9</v>
      </c>
      <c r="K30" s="39"/>
    </row>
    <row r="31" spans="1:10" s="141" customFormat="1" ht="19.5" customHeight="1">
      <c r="A31" s="131" t="s">
        <v>141</v>
      </c>
      <c r="B31" s="128">
        <v>25</v>
      </c>
      <c r="C31" s="43">
        <v>4641</v>
      </c>
      <c r="D31" s="150">
        <v>4</v>
      </c>
      <c r="E31" s="43"/>
      <c r="F31" s="130">
        <v>327</v>
      </c>
      <c r="G31" s="130">
        <v>14</v>
      </c>
      <c r="H31" s="130"/>
      <c r="I31" s="130"/>
      <c r="J31" s="43">
        <v>9</v>
      </c>
    </row>
    <row r="32" spans="1:10" ht="19.5" customHeight="1">
      <c r="A32" s="157" t="s">
        <v>329</v>
      </c>
      <c r="B32" s="149">
        <v>100</v>
      </c>
      <c r="C32" s="158">
        <v>4641</v>
      </c>
      <c r="D32" s="158">
        <v>4</v>
      </c>
      <c r="E32" s="158"/>
      <c r="F32" s="159">
        <v>327</v>
      </c>
      <c r="G32" s="159">
        <v>13</v>
      </c>
      <c r="H32" s="159"/>
      <c r="I32" s="159"/>
      <c r="J32" s="158">
        <v>9</v>
      </c>
    </row>
    <row r="33" spans="1:10" ht="19.5" customHeight="1">
      <c r="A33" s="26" t="s">
        <v>293</v>
      </c>
      <c r="B33" s="17">
        <v>3</v>
      </c>
      <c r="C33" s="27">
        <v>4641</v>
      </c>
      <c r="D33" s="28">
        <v>4</v>
      </c>
      <c r="E33" s="27"/>
      <c r="F33" s="18">
        <v>327</v>
      </c>
      <c r="G33" s="18"/>
      <c r="H33" s="18"/>
      <c r="I33" s="18"/>
      <c r="J33" s="27">
        <v>9</v>
      </c>
    </row>
    <row r="34" spans="11:255" s="31" customFormat="1" ht="19.5" customHeight="1"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1:255" s="31" customFormat="1" ht="19.5" customHeight="1"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1:255" s="31" customFormat="1" ht="19.5" customHeight="1"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1:255" s="31" customFormat="1" ht="19.5" customHeight="1"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1:255" s="31" customFormat="1" ht="19.5" customHeight="1"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1:255" s="31" customFormat="1" ht="19.5" customHeight="1"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1:255" s="31" customFormat="1" ht="19.5" customHeight="1"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1:255" s="31" customFormat="1" ht="19.5" customHeight="1"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1:255" s="31" customFormat="1" ht="19.5" customHeight="1"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24" customFormat="1" ht="18">
      <c r="A43" s="22" t="s">
        <v>0</v>
      </c>
      <c r="B43" s="48" t="s">
        <v>6</v>
      </c>
      <c r="C43" s="49" t="s">
        <v>7</v>
      </c>
      <c r="D43" s="49" t="s">
        <v>39</v>
      </c>
      <c r="E43" s="49" t="s">
        <v>8</v>
      </c>
      <c r="F43" s="49" t="s">
        <v>9</v>
      </c>
      <c r="G43" s="49" t="s">
        <v>10</v>
      </c>
      <c r="H43" s="49" t="s">
        <v>11</v>
      </c>
      <c r="I43" s="49" t="s">
        <v>40</v>
      </c>
      <c r="J43" s="49" t="s">
        <v>12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39" customFormat="1" ht="19.5" customHeight="1">
      <c r="A44" s="52" t="s">
        <v>46</v>
      </c>
      <c r="B44" s="47">
        <f>SUM(B45:B48)</f>
        <v>190</v>
      </c>
      <c r="C44" s="41"/>
      <c r="D44" s="41"/>
      <c r="E44" s="41"/>
      <c r="F44" s="41"/>
      <c r="G44" s="41"/>
      <c r="H44" s="41"/>
      <c r="I44" s="41"/>
      <c r="J44" s="4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s="29" customFormat="1" ht="19.5" customHeight="1">
      <c r="A45" s="26" t="s">
        <v>294</v>
      </c>
      <c r="B45" s="17">
        <v>100</v>
      </c>
      <c r="C45" s="27">
        <v>4647</v>
      </c>
      <c r="D45" s="28">
        <v>4</v>
      </c>
      <c r="E45" s="18">
        <v>722</v>
      </c>
      <c r="F45" s="18">
        <v>327</v>
      </c>
      <c r="G45" s="18">
        <v>73</v>
      </c>
      <c r="H45" s="18"/>
      <c r="I45" s="18"/>
      <c r="J45" s="18">
        <v>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</row>
    <row r="46" spans="1:10" ht="19.5" customHeight="1">
      <c r="A46" s="26" t="s">
        <v>295</v>
      </c>
      <c r="B46" s="17">
        <v>35</v>
      </c>
      <c r="C46" s="27">
        <v>4647</v>
      </c>
      <c r="D46" s="28">
        <v>4</v>
      </c>
      <c r="E46" s="18">
        <v>6551</v>
      </c>
      <c r="F46" s="18">
        <v>327</v>
      </c>
      <c r="G46" s="18">
        <v>73</v>
      </c>
      <c r="H46" s="18"/>
      <c r="I46" s="18"/>
      <c r="J46" s="18"/>
    </row>
    <row r="47" spans="1:10" ht="19.5" customHeight="1">
      <c r="A47" s="26" t="s">
        <v>296</v>
      </c>
      <c r="B47" s="17">
        <v>55</v>
      </c>
      <c r="C47" s="27">
        <v>4647</v>
      </c>
      <c r="D47" s="28">
        <v>4</v>
      </c>
      <c r="E47" s="18">
        <v>6742</v>
      </c>
      <c r="F47" s="18">
        <v>327</v>
      </c>
      <c r="G47" s="18">
        <v>73</v>
      </c>
      <c r="H47" s="18"/>
      <c r="I47" s="18"/>
      <c r="J47" s="18"/>
    </row>
    <row r="48" spans="1:10" ht="19.5" customHeight="1">
      <c r="A48" s="35"/>
      <c r="B48" s="64"/>
      <c r="C48" s="36"/>
      <c r="D48" s="37"/>
      <c r="E48" s="38"/>
      <c r="F48" s="38"/>
      <c r="G48" s="38"/>
      <c r="H48" s="38"/>
      <c r="I48" s="38"/>
      <c r="J48" s="38"/>
    </row>
    <row r="49" spans="1:255" s="39" customFormat="1" ht="19.5" customHeight="1">
      <c r="A49" s="52" t="s">
        <v>14</v>
      </c>
      <c r="B49" s="47">
        <f>SUM(B50:B60)</f>
        <v>406</v>
      </c>
      <c r="C49" s="41"/>
      <c r="D49" s="41"/>
      <c r="E49" s="41"/>
      <c r="F49" s="41"/>
      <c r="G49" s="41"/>
      <c r="H49" s="41"/>
      <c r="I49" s="41"/>
      <c r="J49" s="4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10" ht="19.5" customHeight="1">
      <c r="A50" s="82" t="s">
        <v>17</v>
      </c>
      <c r="B50" s="17"/>
      <c r="C50" s="27">
        <v>4641</v>
      </c>
      <c r="D50" s="28">
        <v>4</v>
      </c>
      <c r="E50" s="18"/>
      <c r="F50" s="18">
        <v>327</v>
      </c>
      <c r="G50" s="18">
        <v>72</v>
      </c>
      <c r="H50" s="18"/>
      <c r="I50" s="18"/>
      <c r="J50" s="18">
        <v>88</v>
      </c>
    </row>
    <row r="51" spans="1:10" ht="19.5" customHeight="1">
      <c r="A51" s="82" t="s">
        <v>16</v>
      </c>
      <c r="B51" s="17"/>
      <c r="C51" s="27">
        <v>4641</v>
      </c>
      <c r="D51" s="28">
        <v>4</v>
      </c>
      <c r="E51" s="18"/>
      <c r="F51" s="18">
        <v>327</v>
      </c>
      <c r="G51" s="18">
        <v>72</v>
      </c>
      <c r="H51" s="18"/>
      <c r="I51" s="18"/>
      <c r="J51" s="18">
        <v>88</v>
      </c>
    </row>
    <row r="52" spans="1:10" ht="19.5" customHeight="1">
      <c r="A52" s="26" t="s">
        <v>24</v>
      </c>
      <c r="B52" s="17">
        <v>190</v>
      </c>
      <c r="C52" s="27">
        <v>4641</v>
      </c>
      <c r="D52" s="28">
        <v>4</v>
      </c>
      <c r="E52" s="18"/>
      <c r="F52" s="18">
        <v>327</v>
      </c>
      <c r="G52" s="18">
        <v>71</v>
      </c>
      <c r="H52" s="18"/>
      <c r="I52" s="18"/>
      <c r="J52" s="18">
        <v>9</v>
      </c>
    </row>
    <row r="53" spans="1:10" ht="19.5" customHeight="1">
      <c r="A53" s="26" t="s">
        <v>25</v>
      </c>
      <c r="B53" s="17"/>
      <c r="C53" s="27">
        <v>4641</v>
      </c>
      <c r="D53" s="28">
        <v>4</v>
      </c>
      <c r="E53" s="18"/>
      <c r="F53" s="18">
        <v>327</v>
      </c>
      <c r="G53" s="18">
        <v>71</v>
      </c>
      <c r="H53" s="18"/>
      <c r="I53" s="18"/>
      <c r="J53" s="18">
        <v>9</v>
      </c>
    </row>
    <row r="54" spans="1:10" ht="19.5" customHeight="1">
      <c r="A54" s="26" t="s">
        <v>18</v>
      </c>
      <c r="B54" s="73">
        <v>25</v>
      </c>
      <c r="C54" s="27">
        <v>4641</v>
      </c>
      <c r="D54" s="28">
        <v>4</v>
      </c>
      <c r="E54" s="18"/>
      <c r="F54" s="18">
        <v>327</v>
      </c>
      <c r="G54" s="18">
        <v>722</v>
      </c>
      <c r="H54" s="18"/>
      <c r="I54" s="18"/>
      <c r="J54" s="18">
        <v>9</v>
      </c>
    </row>
    <row r="55" spans="1:10" ht="19.5" customHeight="1">
      <c r="A55" s="26" t="s">
        <v>26</v>
      </c>
      <c r="B55" s="73">
        <v>90</v>
      </c>
      <c r="C55" s="27">
        <v>4641</v>
      </c>
      <c r="D55" s="28">
        <v>4</v>
      </c>
      <c r="E55" s="18"/>
      <c r="F55" s="18">
        <v>327</v>
      </c>
      <c r="G55" s="18">
        <v>721</v>
      </c>
      <c r="H55" s="18"/>
      <c r="I55" s="18"/>
      <c r="J55" s="18">
        <v>9</v>
      </c>
    </row>
    <row r="56" spans="1:10" ht="19.5" customHeight="1">
      <c r="A56" s="26" t="s">
        <v>19</v>
      </c>
      <c r="B56" s="73">
        <v>16</v>
      </c>
      <c r="C56" s="27">
        <v>4641</v>
      </c>
      <c r="D56" s="28">
        <v>4</v>
      </c>
      <c r="E56" s="18"/>
      <c r="F56" s="18">
        <v>327</v>
      </c>
      <c r="G56" s="18">
        <v>722</v>
      </c>
      <c r="H56" s="18"/>
      <c r="I56" s="18"/>
      <c r="J56" s="18">
        <v>88</v>
      </c>
    </row>
    <row r="57" spans="1:10" ht="19.5" customHeight="1">
      <c r="A57" s="26" t="s">
        <v>27</v>
      </c>
      <c r="B57" s="17">
        <v>25</v>
      </c>
      <c r="C57" s="27">
        <v>4641</v>
      </c>
      <c r="D57" s="28">
        <v>4</v>
      </c>
      <c r="E57" s="18"/>
      <c r="F57" s="18">
        <v>327</v>
      </c>
      <c r="G57" s="18">
        <v>723</v>
      </c>
      <c r="H57" s="18"/>
      <c r="I57" s="18"/>
      <c r="J57" s="18">
        <v>88</v>
      </c>
    </row>
    <row r="58" spans="1:10" s="141" customFormat="1" ht="19.5" customHeight="1">
      <c r="A58" s="131" t="s">
        <v>29</v>
      </c>
      <c r="B58" s="128">
        <v>50</v>
      </c>
      <c r="C58" s="43">
        <v>4641</v>
      </c>
      <c r="D58" s="150">
        <v>4</v>
      </c>
      <c r="E58" s="130"/>
      <c r="F58" s="130">
        <v>327</v>
      </c>
      <c r="G58" s="130">
        <v>723</v>
      </c>
      <c r="H58" s="130"/>
      <c r="I58" s="130"/>
      <c r="J58" s="130">
        <v>9</v>
      </c>
    </row>
    <row r="59" spans="1:10" ht="19.5" customHeight="1">
      <c r="A59" s="26" t="s">
        <v>30</v>
      </c>
      <c r="B59" s="73"/>
      <c r="C59" s="27"/>
      <c r="D59" s="28"/>
      <c r="E59" s="18"/>
      <c r="F59" s="18"/>
      <c r="G59" s="18"/>
      <c r="H59" s="18"/>
      <c r="I59" s="18"/>
      <c r="J59" s="18"/>
    </row>
    <row r="60" spans="1:10" ht="19.5" customHeight="1">
      <c r="A60" s="16" t="s">
        <v>36</v>
      </c>
      <c r="B60" s="17">
        <v>10</v>
      </c>
      <c r="C60" s="27">
        <v>4641</v>
      </c>
      <c r="D60" s="28">
        <v>4</v>
      </c>
      <c r="E60" s="18"/>
      <c r="F60" s="18">
        <v>327</v>
      </c>
      <c r="G60" s="18">
        <v>83</v>
      </c>
      <c r="H60" s="18"/>
      <c r="I60" s="18"/>
      <c r="J60" s="18">
        <v>9</v>
      </c>
    </row>
    <row r="61" ht="12.75"/>
    <row r="62" spans="1:255" s="39" customFormat="1" ht="19.5" customHeight="1">
      <c r="A62" s="52" t="s">
        <v>34</v>
      </c>
      <c r="B62" s="46">
        <f>SUM(B63:B68)</f>
        <v>3357</v>
      </c>
      <c r="C62" s="41"/>
      <c r="D62" s="41"/>
      <c r="E62" s="41"/>
      <c r="F62" s="41"/>
      <c r="G62" s="41"/>
      <c r="H62" s="41"/>
      <c r="I62" s="41"/>
      <c r="J62" s="4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10" ht="19.5" customHeight="1">
      <c r="A63" s="16" t="s">
        <v>35</v>
      </c>
      <c r="B63" s="17">
        <v>230</v>
      </c>
      <c r="C63" s="27">
        <v>4641</v>
      </c>
      <c r="D63" s="28">
        <v>4</v>
      </c>
      <c r="E63" s="18"/>
      <c r="F63" s="18">
        <v>327</v>
      </c>
      <c r="G63" s="18">
        <v>81</v>
      </c>
      <c r="H63" s="18"/>
      <c r="I63" s="18"/>
      <c r="J63" s="18">
        <v>9</v>
      </c>
    </row>
    <row r="64" spans="1:10" ht="19.5" customHeight="1">
      <c r="A64" s="16" t="s">
        <v>33</v>
      </c>
      <c r="B64" s="17">
        <v>2946</v>
      </c>
      <c r="C64" s="27">
        <v>4641</v>
      </c>
      <c r="D64" s="28">
        <v>4</v>
      </c>
      <c r="E64" s="18"/>
      <c r="F64" s="18">
        <v>327</v>
      </c>
      <c r="G64" s="18">
        <v>82</v>
      </c>
      <c r="H64" s="18"/>
      <c r="I64" s="18"/>
      <c r="J64" s="18">
        <v>88</v>
      </c>
    </row>
    <row r="65" spans="1:10" ht="19.5" customHeight="1">
      <c r="A65" s="16" t="s">
        <v>205</v>
      </c>
      <c r="B65" s="17">
        <v>81</v>
      </c>
      <c r="C65" s="27">
        <v>4641</v>
      </c>
      <c r="D65" s="28">
        <v>4</v>
      </c>
      <c r="E65" s="18"/>
      <c r="F65" s="18">
        <v>327</v>
      </c>
      <c r="G65" s="18">
        <v>89</v>
      </c>
      <c r="H65" s="18"/>
      <c r="I65" s="18"/>
      <c r="J65" s="18">
        <v>9</v>
      </c>
    </row>
    <row r="66" spans="1:10" ht="19.5" customHeight="1">
      <c r="A66" s="16" t="s">
        <v>37</v>
      </c>
      <c r="B66" s="17">
        <v>15</v>
      </c>
      <c r="C66" s="27">
        <v>4649</v>
      </c>
      <c r="D66" s="28">
        <v>4</v>
      </c>
      <c r="E66" s="18"/>
      <c r="F66" s="18">
        <v>3271</v>
      </c>
      <c r="G66" s="18">
        <v>84</v>
      </c>
      <c r="H66" s="18"/>
      <c r="I66" s="18"/>
      <c r="J66" s="18">
        <v>9</v>
      </c>
    </row>
    <row r="67" spans="1:10" ht="19.5" customHeight="1">
      <c r="A67" s="16" t="s">
        <v>138</v>
      </c>
      <c r="B67" s="17"/>
      <c r="C67" s="27">
        <v>4649</v>
      </c>
      <c r="D67" s="28">
        <v>4</v>
      </c>
      <c r="E67" s="18"/>
      <c r="F67" s="18">
        <v>3271</v>
      </c>
      <c r="G67" s="18">
        <v>85</v>
      </c>
      <c r="H67" s="18"/>
      <c r="I67" s="18"/>
      <c r="J67" s="18">
        <v>9</v>
      </c>
    </row>
    <row r="68" spans="1:10" ht="19.5" customHeight="1">
      <c r="A68" s="16" t="s">
        <v>23</v>
      </c>
      <c r="B68" s="17">
        <v>85</v>
      </c>
      <c r="C68" s="27">
        <v>4649</v>
      </c>
      <c r="D68" s="28">
        <v>4</v>
      </c>
      <c r="E68" s="18"/>
      <c r="F68" s="18">
        <v>3271</v>
      </c>
      <c r="G68" s="18">
        <v>86</v>
      </c>
      <c r="H68" s="18"/>
      <c r="I68" s="18"/>
      <c r="J68" s="18">
        <v>9</v>
      </c>
    </row>
    <row r="69" spans="11:255" s="32" customFormat="1" ht="19.5" customHeight="1"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32" customFormat="1" ht="19.5" customHeight="1">
      <c r="A70" s="44" t="s">
        <v>38</v>
      </c>
      <c r="B70" s="45">
        <f>SUM(B71:B76)</f>
        <v>389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84" customFormat="1" ht="19.5" customHeight="1">
      <c r="A71" s="83" t="s">
        <v>41</v>
      </c>
      <c r="B71" s="87">
        <v>70</v>
      </c>
      <c r="C71" s="85">
        <v>4641</v>
      </c>
      <c r="D71" s="85">
        <v>4</v>
      </c>
      <c r="E71" s="86"/>
      <c r="F71" s="86">
        <v>327</v>
      </c>
      <c r="G71" s="86">
        <v>91</v>
      </c>
      <c r="H71" s="86"/>
      <c r="I71" s="86"/>
      <c r="J71" s="86">
        <v>88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10" ht="19.5" customHeight="1">
      <c r="A72" s="16" t="s">
        <v>28</v>
      </c>
      <c r="B72" s="73">
        <v>153</v>
      </c>
      <c r="C72" s="27">
        <v>4641</v>
      </c>
      <c r="D72" s="28">
        <v>4</v>
      </c>
      <c r="E72" s="18"/>
      <c r="F72" s="18">
        <v>327</v>
      </c>
      <c r="G72" s="18">
        <v>92</v>
      </c>
      <c r="H72" s="18"/>
      <c r="I72" s="18"/>
      <c r="J72" s="18">
        <v>88</v>
      </c>
    </row>
    <row r="73" spans="1:10" ht="19.5" customHeight="1">
      <c r="A73" s="160" t="s">
        <v>321</v>
      </c>
      <c r="B73" s="149">
        <v>41</v>
      </c>
      <c r="C73" s="158">
        <v>4641</v>
      </c>
      <c r="D73" s="158">
        <v>4</v>
      </c>
      <c r="E73" s="159"/>
      <c r="F73" s="159">
        <v>327</v>
      </c>
      <c r="G73" s="159">
        <v>932</v>
      </c>
      <c r="H73" s="159"/>
      <c r="I73" s="159"/>
      <c r="J73" s="159">
        <v>88</v>
      </c>
    </row>
    <row r="74" spans="1:10" ht="19.5" customHeight="1">
      <c r="A74" s="160" t="s">
        <v>322</v>
      </c>
      <c r="B74" s="149">
        <v>30</v>
      </c>
      <c r="C74" s="158">
        <v>4641</v>
      </c>
      <c r="D74" s="158">
        <v>4</v>
      </c>
      <c r="E74" s="159"/>
      <c r="F74" s="159">
        <v>327</v>
      </c>
      <c r="G74" s="159">
        <v>931</v>
      </c>
      <c r="H74" s="159"/>
      <c r="I74" s="159"/>
      <c r="J74" s="159">
        <v>88</v>
      </c>
    </row>
    <row r="75" spans="1:10" ht="19.5" customHeight="1">
      <c r="A75" s="16" t="s">
        <v>99</v>
      </c>
      <c r="B75" s="17">
        <v>60</v>
      </c>
      <c r="C75" s="27">
        <v>4641</v>
      </c>
      <c r="D75" s="28">
        <v>4</v>
      </c>
      <c r="E75" s="18"/>
      <c r="F75" s="18">
        <v>327</v>
      </c>
      <c r="G75" s="18">
        <v>94</v>
      </c>
      <c r="H75" s="18"/>
      <c r="I75" s="18"/>
      <c r="J75" s="18">
        <v>88</v>
      </c>
    </row>
    <row r="76" spans="1:10" ht="19.5" customHeight="1">
      <c r="A76" s="160" t="s">
        <v>331</v>
      </c>
      <c r="B76" s="149">
        <v>35</v>
      </c>
      <c r="C76" s="158">
        <v>4641</v>
      </c>
      <c r="D76" s="158">
        <v>4</v>
      </c>
      <c r="E76" s="159"/>
      <c r="F76" s="159">
        <v>327</v>
      </c>
      <c r="G76" s="159"/>
      <c r="H76" s="159"/>
      <c r="I76" s="159"/>
      <c r="J76" s="159">
        <v>88</v>
      </c>
    </row>
    <row r="78" spans="1:255" s="39" customFormat="1" ht="19.5" customHeight="1">
      <c r="A78" s="49" t="s">
        <v>3</v>
      </c>
      <c r="B78" s="48">
        <f>B19+B44+B49+B62+B70</f>
        <v>6007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</sheetData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3"/>
  <headerFooter alignWithMargins="0">
    <oddHeader>&amp;L&amp;"Times New RomanVFet"&amp;12NACKA KOMMUN
&amp;"Times New RomanVNormal"Kultur Nacka&amp;C&amp;"Times New RomanVFet"&amp;14Budget 2000
&amp;A&amp;"Times New RomanVNormal"&amp;12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36">
      <selection activeCell="B45" sqref="B45"/>
    </sheetView>
  </sheetViews>
  <sheetFormatPr defaultColWidth="9.140625" defaultRowHeight="12.75"/>
  <cols>
    <col min="1" max="1" width="20.57421875" style="20" customWidth="1"/>
    <col min="2" max="2" width="12.28125" style="23" customWidth="1"/>
    <col min="3" max="3" width="10.00390625" style="20" customWidth="1"/>
    <col min="4" max="4" width="6.421875" style="20" customWidth="1"/>
    <col min="5" max="5" width="7.28125" style="20" customWidth="1"/>
    <col min="6" max="7" width="5.8515625" style="20" customWidth="1"/>
    <col min="8" max="8" width="8.2812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ht="19.5" customHeight="1">
      <c r="B1" s="21"/>
    </row>
    <row r="2" ht="19.5" customHeight="1">
      <c r="B2" s="21"/>
    </row>
    <row r="3" spans="1:10" s="24" customFormat="1" ht="19.5" customHeight="1">
      <c r="A3" s="103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40</v>
      </c>
      <c r="J3" s="49" t="s">
        <v>12</v>
      </c>
    </row>
    <row r="4" spans="1:10" s="24" customFormat="1" ht="19.5" customHeight="1">
      <c r="A4" s="16" t="s">
        <v>121</v>
      </c>
      <c r="B4" s="17">
        <f>B27</f>
        <v>583</v>
      </c>
      <c r="C4" s="18">
        <v>4641</v>
      </c>
      <c r="D4" s="19">
        <v>3614</v>
      </c>
      <c r="E4" s="18"/>
      <c r="F4" s="18">
        <v>321</v>
      </c>
      <c r="G4" s="18">
        <v>1</v>
      </c>
      <c r="H4" s="18"/>
      <c r="I4" s="18"/>
      <c r="J4" s="18">
        <v>4602</v>
      </c>
    </row>
    <row r="5" spans="1:10" ht="19.5" customHeight="1">
      <c r="A5" s="16" t="s">
        <v>168</v>
      </c>
      <c r="B5" s="17">
        <f>SUM(4100*28)*0.001</f>
        <v>114.8</v>
      </c>
      <c r="C5" s="18">
        <v>4643</v>
      </c>
      <c r="D5" s="19">
        <v>3614</v>
      </c>
      <c r="E5" s="18"/>
      <c r="F5" s="18">
        <v>3211</v>
      </c>
      <c r="G5" s="18">
        <v>4</v>
      </c>
      <c r="H5" s="18"/>
      <c r="I5" s="18"/>
      <c r="J5" s="18">
        <v>4602</v>
      </c>
    </row>
    <row r="6" spans="1:10" ht="19.5" customHeight="1">
      <c r="A6" s="16" t="s">
        <v>167</v>
      </c>
      <c r="B6" s="17">
        <f>SUM(10900*28)*0.001</f>
        <v>305.2</v>
      </c>
      <c r="C6" s="18">
        <v>4642</v>
      </c>
      <c r="D6" s="19">
        <v>3614</v>
      </c>
      <c r="E6" s="18"/>
      <c r="F6" s="18">
        <v>3212</v>
      </c>
      <c r="G6" s="18">
        <v>4</v>
      </c>
      <c r="H6" s="18"/>
      <c r="I6" s="18"/>
      <c r="J6" s="18">
        <v>4602</v>
      </c>
    </row>
    <row r="7" spans="1:10" ht="19.5" customHeight="1">
      <c r="A7" s="16" t="s">
        <v>166</v>
      </c>
      <c r="B7" s="17">
        <f>SUM(2500*28)*0.001</f>
        <v>70</v>
      </c>
      <c r="C7" s="18">
        <v>4642</v>
      </c>
      <c r="D7" s="19">
        <v>3614</v>
      </c>
      <c r="E7" s="18"/>
      <c r="F7" s="18">
        <v>3213</v>
      </c>
      <c r="G7" s="18">
        <v>4</v>
      </c>
      <c r="H7" s="18"/>
      <c r="I7" s="18"/>
      <c r="J7" s="18">
        <v>4602</v>
      </c>
    </row>
    <row r="8" spans="1:10" ht="19.5" customHeight="1">
      <c r="A8" s="16" t="s">
        <v>101</v>
      </c>
      <c r="B8" s="17">
        <v>50</v>
      </c>
      <c r="C8" s="18">
        <v>4643</v>
      </c>
      <c r="D8" s="19">
        <v>3614</v>
      </c>
      <c r="E8" s="18"/>
      <c r="F8" s="18">
        <v>3214</v>
      </c>
      <c r="G8" s="18">
        <v>4</v>
      </c>
      <c r="H8" s="18"/>
      <c r="I8" s="18"/>
      <c r="J8" s="18">
        <v>4602</v>
      </c>
    </row>
    <row r="9" spans="1:10" ht="19.5" customHeight="1">
      <c r="A9" s="16" t="s">
        <v>169</v>
      </c>
      <c r="B9" s="17">
        <v>50</v>
      </c>
      <c r="C9" s="18">
        <v>4642</v>
      </c>
      <c r="D9" s="19">
        <v>3614</v>
      </c>
      <c r="E9" s="18"/>
      <c r="F9" s="18">
        <v>321</v>
      </c>
      <c r="G9" s="18">
        <v>4</v>
      </c>
      <c r="H9" s="18"/>
      <c r="I9" s="18"/>
      <c r="J9" s="18">
        <v>4602</v>
      </c>
    </row>
    <row r="10" spans="1:10" ht="19.5" customHeight="1">
      <c r="A10" s="16" t="s">
        <v>308</v>
      </c>
      <c r="B10" s="17">
        <v>50</v>
      </c>
      <c r="C10" s="18">
        <v>4642</v>
      </c>
      <c r="D10" s="19">
        <v>3614</v>
      </c>
      <c r="E10" s="18"/>
      <c r="F10" s="18"/>
      <c r="G10" s="18"/>
      <c r="H10" s="18"/>
      <c r="I10" s="18"/>
      <c r="J10" s="18"/>
    </row>
    <row r="11" spans="1:10" ht="19.5" customHeight="1">
      <c r="A11" s="16" t="s">
        <v>148</v>
      </c>
      <c r="B11" s="17">
        <v>10</v>
      </c>
      <c r="C11" s="18">
        <v>4642</v>
      </c>
      <c r="D11" s="19">
        <v>3614</v>
      </c>
      <c r="E11" s="18"/>
      <c r="F11" s="18">
        <v>321</v>
      </c>
      <c r="G11" s="18">
        <v>4</v>
      </c>
      <c r="H11" s="18"/>
      <c r="I11" s="18"/>
      <c r="J11" s="18">
        <v>4602</v>
      </c>
    </row>
    <row r="12" spans="1:10" ht="19.5" customHeight="1">
      <c r="A12" s="16" t="s">
        <v>307</v>
      </c>
      <c r="B12" s="17">
        <v>25</v>
      </c>
      <c r="C12" s="18">
        <v>4642</v>
      </c>
      <c r="D12" s="19">
        <v>3614</v>
      </c>
      <c r="E12" s="18"/>
      <c r="F12" s="18">
        <v>321</v>
      </c>
      <c r="G12" s="18">
        <v>416</v>
      </c>
      <c r="H12" s="18">
        <v>2220</v>
      </c>
      <c r="I12" s="18"/>
      <c r="J12" s="18">
        <v>4602</v>
      </c>
    </row>
    <row r="13" spans="1:10" ht="19.5" customHeight="1">
      <c r="A13" s="16"/>
      <c r="B13" s="17"/>
      <c r="C13" s="18"/>
      <c r="D13" s="19"/>
      <c r="E13" s="18"/>
      <c r="F13" s="18"/>
      <c r="G13" s="18"/>
      <c r="H13" s="18"/>
      <c r="I13" s="18"/>
      <c r="J13" s="18"/>
    </row>
    <row r="14" spans="1:10" ht="19.5" customHeight="1">
      <c r="A14" s="16" t="s">
        <v>102</v>
      </c>
      <c r="B14" s="17">
        <v>360</v>
      </c>
      <c r="C14" s="18">
        <v>4642</v>
      </c>
      <c r="D14" s="19">
        <v>31321</v>
      </c>
      <c r="E14" s="18"/>
      <c r="F14" s="18">
        <v>3215</v>
      </c>
      <c r="G14" s="18">
        <v>403</v>
      </c>
      <c r="H14" s="18"/>
      <c r="I14" s="18"/>
      <c r="J14" s="18">
        <v>88</v>
      </c>
    </row>
    <row r="15" spans="1:10" ht="19.5" customHeight="1">
      <c r="A15" s="16" t="s">
        <v>334</v>
      </c>
      <c r="B15" s="17">
        <v>30</v>
      </c>
      <c r="C15" s="18">
        <v>4642</v>
      </c>
      <c r="D15" s="19"/>
      <c r="E15" s="18"/>
      <c r="F15" s="18">
        <v>3215</v>
      </c>
      <c r="G15" s="18">
        <v>403</v>
      </c>
      <c r="H15" s="18"/>
      <c r="I15" s="18"/>
      <c r="J15" s="18"/>
    </row>
    <row r="16" spans="1:10" ht="19.5" customHeight="1">
      <c r="A16" s="16" t="s">
        <v>42</v>
      </c>
      <c r="B16" s="17">
        <v>70</v>
      </c>
      <c r="C16" s="18">
        <v>4643</v>
      </c>
      <c r="D16" s="19">
        <v>31321</v>
      </c>
      <c r="E16" s="18"/>
      <c r="F16" s="18">
        <v>3211</v>
      </c>
      <c r="G16" s="18">
        <v>4</v>
      </c>
      <c r="H16" s="18"/>
      <c r="I16" s="18"/>
      <c r="J16" s="18">
        <v>88</v>
      </c>
    </row>
    <row r="17" spans="1:10" ht="19.5" customHeight="1">
      <c r="A17" s="16" t="s">
        <v>43</v>
      </c>
      <c r="B17" s="17">
        <f>SUM(10*10000)*0.001</f>
        <v>100</v>
      </c>
      <c r="C17" s="18">
        <v>4642</v>
      </c>
      <c r="D17" s="19">
        <v>31321</v>
      </c>
      <c r="E17" s="18"/>
      <c r="F17" s="18">
        <v>3212</v>
      </c>
      <c r="G17" s="18">
        <v>4</v>
      </c>
      <c r="H17" s="18"/>
      <c r="I17" s="18"/>
      <c r="J17" s="18">
        <v>88</v>
      </c>
    </row>
    <row r="18" spans="1:10" ht="19.5" customHeight="1">
      <c r="A18" s="16" t="s">
        <v>44</v>
      </c>
      <c r="B18" s="17">
        <f>SUM(10*2300)*0.001</f>
        <v>23</v>
      </c>
      <c r="C18" s="18">
        <v>4642</v>
      </c>
      <c r="D18" s="19">
        <v>31321</v>
      </c>
      <c r="E18" s="18"/>
      <c r="F18" s="18">
        <v>3213</v>
      </c>
      <c r="G18" s="18">
        <v>4</v>
      </c>
      <c r="H18" s="18"/>
      <c r="I18" s="18"/>
      <c r="J18" s="18">
        <v>88</v>
      </c>
    </row>
    <row r="19" spans="1:10" ht="19.5" customHeight="1">
      <c r="A19" s="16" t="s">
        <v>122</v>
      </c>
      <c r="B19" s="17">
        <v>10</v>
      </c>
      <c r="C19" s="18">
        <v>4643</v>
      </c>
      <c r="D19" s="19">
        <v>31311</v>
      </c>
      <c r="E19" s="18"/>
      <c r="F19" s="18">
        <v>3214</v>
      </c>
      <c r="G19" s="18">
        <v>4</v>
      </c>
      <c r="H19" s="18"/>
      <c r="I19" s="18"/>
      <c r="J19" s="18">
        <v>9</v>
      </c>
    </row>
    <row r="20" spans="1:10" ht="19.5" customHeight="1">
      <c r="A20" s="16" t="s">
        <v>173</v>
      </c>
      <c r="B20" s="17">
        <v>10</v>
      </c>
      <c r="C20" s="18">
        <v>4642</v>
      </c>
      <c r="D20" s="19">
        <v>3029</v>
      </c>
      <c r="E20" s="18"/>
      <c r="F20" s="18">
        <v>321</v>
      </c>
      <c r="G20" s="18">
        <v>423</v>
      </c>
      <c r="H20" s="18"/>
      <c r="I20" s="18"/>
      <c r="J20" s="18">
        <v>96</v>
      </c>
    </row>
    <row r="21" spans="1:10" ht="19.5" customHeight="1">
      <c r="A21" s="154" t="s">
        <v>333</v>
      </c>
      <c r="B21" s="155">
        <v>100</v>
      </c>
      <c r="C21" s="156">
        <v>4641</v>
      </c>
      <c r="D21" s="156"/>
      <c r="E21" s="156"/>
      <c r="F21" s="156">
        <v>321</v>
      </c>
      <c r="G21" s="156">
        <v>402</v>
      </c>
      <c r="H21" s="156"/>
      <c r="I21" s="156"/>
      <c r="J21" s="156"/>
    </row>
    <row r="22" spans="1:10" ht="19.5" customHeight="1">
      <c r="A22" s="16" t="s">
        <v>316</v>
      </c>
      <c r="B22" s="17"/>
      <c r="C22" s="18"/>
      <c r="D22" s="19"/>
      <c r="E22" s="18"/>
      <c r="F22" s="18"/>
      <c r="G22" s="18"/>
      <c r="H22" s="18"/>
      <c r="I22" s="18"/>
      <c r="J22" s="18"/>
    </row>
    <row r="23" spans="1:2" s="39" customFormat="1" ht="19.5" customHeight="1">
      <c r="A23" s="89" t="s">
        <v>4</v>
      </c>
      <c r="B23" s="90">
        <f>SUM(B4:B22)</f>
        <v>1961</v>
      </c>
    </row>
    <row r="24" s="25" customFormat="1" ht="16.5" customHeight="1"/>
    <row r="25" s="25" customFormat="1" ht="15"/>
    <row r="26" spans="1:10" s="24" customFormat="1" ht="18">
      <c r="A26" s="22" t="s">
        <v>0</v>
      </c>
      <c r="B26" s="48" t="s">
        <v>6</v>
      </c>
      <c r="C26" s="49" t="s">
        <v>7</v>
      </c>
      <c r="D26" s="49" t="s">
        <v>39</v>
      </c>
      <c r="E26" s="49" t="s">
        <v>8</v>
      </c>
      <c r="F26" s="49" t="s">
        <v>9</v>
      </c>
      <c r="G26" s="49" t="s">
        <v>10</v>
      </c>
      <c r="H26" s="49" t="s">
        <v>11</v>
      </c>
      <c r="I26" s="49" t="s">
        <v>40</v>
      </c>
      <c r="J26" s="49" t="s">
        <v>12</v>
      </c>
    </row>
    <row r="27" spans="1:18" s="39" customFormat="1" ht="19.5" customHeight="1">
      <c r="A27" s="52" t="s">
        <v>31</v>
      </c>
      <c r="B27" s="47">
        <f>SUM(B28:B33)</f>
        <v>583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26" s="30" customFormat="1" ht="19.5" customHeight="1">
      <c r="A28" s="16" t="s">
        <v>45</v>
      </c>
      <c r="B28" s="39">
        <v>130</v>
      </c>
      <c r="C28" s="27">
        <v>4641</v>
      </c>
      <c r="D28" s="28">
        <v>4</v>
      </c>
      <c r="E28" s="27"/>
      <c r="F28" s="27">
        <v>321</v>
      </c>
      <c r="G28" s="18">
        <v>112</v>
      </c>
      <c r="H28" s="18"/>
      <c r="I28" s="18"/>
      <c r="J28" s="27">
        <v>9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9.5" customHeight="1">
      <c r="A29" s="26" t="s">
        <v>13</v>
      </c>
      <c r="B29" s="27">
        <v>50</v>
      </c>
      <c r="C29" s="27">
        <v>4641</v>
      </c>
      <c r="D29" s="28">
        <v>4</v>
      </c>
      <c r="E29" s="27"/>
      <c r="F29" s="27">
        <v>321</v>
      </c>
      <c r="G29" s="18">
        <v>112</v>
      </c>
      <c r="H29" s="18"/>
      <c r="I29" s="18"/>
      <c r="J29" s="27">
        <v>9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63" t="s">
        <v>45</v>
      </c>
      <c r="B30" s="27">
        <v>271</v>
      </c>
      <c r="C30" s="27">
        <v>4641</v>
      </c>
      <c r="D30" s="28">
        <v>4</v>
      </c>
      <c r="E30" s="27"/>
      <c r="F30" s="27">
        <v>321</v>
      </c>
      <c r="G30" s="18">
        <v>112</v>
      </c>
      <c r="H30" s="18"/>
      <c r="I30" s="18"/>
      <c r="J30" s="27">
        <v>9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6" t="s">
        <v>13</v>
      </c>
      <c r="B31" s="27">
        <v>104</v>
      </c>
      <c r="C31" s="27">
        <v>4641</v>
      </c>
      <c r="D31" s="28">
        <v>4</v>
      </c>
      <c r="E31" s="27"/>
      <c r="F31" s="27">
        <v>321</v>
      </c>
      <c r="G31" s="18">
        <v>112</v>
      </c>
      <c r="H31" s="18"/>
      <c r="I31" s="18"/>
      <c r="J31" s="27">
        <v>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9.5" customHeight="1">
      <c r="A32" s="63" t="s">
        <v>315</v>
      </c>
      <c r="B32" s="27">
        <v>20</v>
      </c>
      <c r="C32" s="27"/>
      <c r="D32" s="28">
        <v>4</v>
      </c>
      <c r="E32" s="27"/>
      <c r="F32" s="27">
        <v>321</v>
      </c>
      <c r="G32" s="18">
        <v>112</v>
      </c>
      <c r="H32" s="18"/>
      <c r="I32" s="18"/>
      <c r="J32" s="27">
        <v>9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26" t="s">
        <v>13</v>
      </c>
      <c r="B33" s="27">
        <v>8</v>
      </c>
      <c r="C33" s="27"/>
      <c r="D33" s="28">
        <v>4</v>
      </c>
      <c r="E33" s="27"/>
      <c r="F33" s="27">
        <v>321</v>
      </c>
      <c r="G33" s="18">
        <v>112</v>
      </c>
      <c r="H33" s="18"/>
      <c r="I33" s="18"/>
      <c r="J33" s="27">
        <v>9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2.75"/>
    <row r="35" s="31" customFormat="1" ht="19.5" customHeight="1"/>
    <row r="36" spans="1:18" s="39" customFormat="1" ht="19.5" customHeight="1">
      <c r="A36" s="52" t="s">
        <v>46</v>
      </c>
      <c r="B36" s="47">
        <f>SUM(B37:B48)</f>
        <v>1528</v>
      </c>
      <c r="C36" s="43"/>
      <c r="D36" s="43"/>
      <c r="E36" s="43"/>
      <c r="F36" s="43"/>
      <c r="G36" s="43"/>
      <c r="H36" s="43"/>
      <c r="I36" s="43"/>
      <c r="J36" s="43"/>
      <c r="K36" s="41"/>
      <c r="L36" s="41"/>
      <c r="M36" s="41"/>
      <c r="N36" s="41"/>
      <c r="O36" s="41"/>
      <c r="P36" s="41"/>
      <c r="Q36" s="41"/>
      <c r="R36" s="41"/>
    </row>
    <row r="37" spans="1:26" s="29" customFormat="1" ht="19.5" customHeight="1">
      <c r="A37" s="26" t="s">
        <v>160</v>
      </c>
      <c r="B37" s="131">
        <v>185</v>
      </c>
      <c r="C37" s="27">
        <v>4643</v>
      </c>
      <c r="D37" s="28">
        <v>4</v>
      </c>
      <c r="E37" s="104"/>
      <c r="F37" s="18">
        <v>3211</v>
      </c>
      <c r="G37" s="18">
        <v>4</v>
      </c>
      <c r="H37" s="104"/>
      <c r="I37" s="18"/>
      <c r="J37" s="18">
        <v>9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9.5" customHeight="1">
      <c r="A38" s="26" t="s">
        <v>161</v>
      </c>
      <c r="B38" s="88">
        <v>405</v>
      </c>
      <c r="C38" s="27">
        <v>4642</v>
      </c>
      <c r="D38" s="28">
        <v>4</v>
      </c>
      <c r="E38" s="26"/>
      <c r="F38" s="18">
        <v>3212</v>
      </c>
      <c r="G38" s="18">
        <v>4</v>
      </c>
      <c r="H38" s="26"/>
      <c r="I38" s="18"/>
      <c r="J38" s="18">
        <v>9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9.5" customHeight="1">
      <c r="A39" s="26" t="s">
        <v>162</v>
      </c>
      <c r="B39" s="88">
        <v>93</v>
      </c>
      <c r="C39" s="27">
        <v>4642</v>
      </c>
      <c r="D39" s="28">
        <v>4</v>
      </c>
      <c r="E39" s="26"/>
      <c r="F39" s="18">
        <v>3213</v>
      </c>
      <c r="G39" s="18">
        <v>4</v>
      </c>
      <c r="H39" s="26"/>
      <c r="I39" s="18"/>
      <c r="J39" s="18">
        <v>9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26" t="s">
        <v>164</v>
      </c>
      <c r="B40" s="17">
        <v>360</v>
      </c>
      <c r="C40" s="27">
        <v>4642</v>
      </c>
      <c r="D40" s="28">
        <v>4</v>
      </c>
      <c r="E40" s="26"/>
      <c r="F40" s="18">
        <v>3215</v>
      </c>
      <c r="G40" s="18">
        <v>403</v>
      </c>
      <c r="H40" s="26"/>
      <c r="I40" s="18"/>
      <c r="J40" s="18">
        <v>9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9.5" customHeight="1">
      <c r="A41" s="26" t="s">
        <v>305</v>
      </c>
      <c r="B41" s="17">
        <v>30</v>
      </c>
      <c r="C41" s="27">
        <v>4642</v>
      </c>
      <c r="D41" s="28">
        <v>4</v>
      </c>
      <c r="E41" s="26"/>
      <c r="F41" s="18">
        <v>3215</v>
      </c>
      <c r="G41" s="18">
        <v>403</v>
      </c>
      <c r="H41" s="26">
        <v>2212</v>
      </c>
      <c r="I41" s="18"/>
      <c r="J41" s="18">
        <v>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10" ht="19.5" customHeight="1">
      <c r="A42" s="26" t="s">
        <v>163</v>
      </c>
      <c r="B42" s="17">
        <v>60</v>
      </c>
      <c r="C42" s="27">
        <v>4643</v>
      </c>
      <c r="D42" s="28">
        <v>4</v>
      </c>
      <c r="E42" s="26"/>
      <c r="F42" s="18">
        <v>3214</v>
      </c>
      <c r="G42" s="18">
        <v>4</v>
      </c>
      <c r="H42" s="26"/>
      <c r="I42" s="18"/>
      <c r="J42" s="18">
        <v>9</v>
      </c>
    </row>
    <row r="43" spans="1:10" ht="19.5" customHeight="1">
      <c r="A43" s="26" t="s">
        <v>165</v>
      </c>
      <c r="B43" s="17">
        <v>50</v>
      </c>
      <c r="C43" s="27">
        <v>4642</v>
      </c>
      <c r="D43" s="28">
        <v>4</v>
      </c>
      <c r="E43" s="26"/>
      <c r="F43" s="18">
        <v>321</v>
      </c>
      <c r="G43" s="18">
        <v>4</v>
      </c>
      <c r="H43" s="26"/>
      <c r="I43" s="18"/>
      <c r="J43" s="18">
        <v>9</v>
      </c>
    </row>
    <row r="44" spans="1:10" ht="19.5" customHeight="1">
      <c r="A44" s="26" t="s">
        <v>309</v>
      </c>
      <c r="B44" s="17">
        <v>50</v>
      </c>
      <c r="C44" s="27">
        <v>4642</v>
      </c>
      <c r="D44" s="28">
        <v>4</v>
      </c>
      <c r="E44" s="26"/>
      <c r="F44" s="18"/>
      <c r="G44" s="18"/>
      <c r="H44" s="26"/>
      <c r="I44" s="18"/>
      <c r="J44" s="18">
        <v>9</v>
      </c>
    </row>
    <row r="45" spans="1:10" ht="19.5" customHeight="1">
      <c r="A45" s="26" t="s">
        <v>15</v>
      </c>
      <c r="B45" s="17">
        <v>20</v>
      </c>
      <c r="C45" s="27">
        <v>4642</v>
      </c>
      <c r="D45" s="28">
        <v>4</v>
      </c>
      <c r="E45" s="26"/>
      <c r="F45" s="18">
        <v>321</v>
      </c>
      <c r="G45" s="18">
        <v>4</v>
      </c>
      <c r="H45" s="26"/>
      <c r="I45" s="18"/>
      <c r="J45" s="18">
        <v>9</v>
      </c>
    </row>
    <row r="46" spans="1:10" ht="19.5" customHeight="1">
      <c r="A46" s="157" t="s">
        <v>333</v>
      </c>
      <c r="B46" s="149">
        <v>150</v>
      </c>
      <c r="C46" s="158">
        <v>4641</v>
      </c>
      <c r="D46" s="158">
        <v>4</v>
      </c>
      <c r="E46" s="157"/>
      <c r="F46" s="159"/>
      <c r="G46" s="159"/>
      <c r="H46" s="157"/>
      <c r="I46" s="159"/>
      <c r="J46" s="159">
        <v>9</v>
      </c>
    </row>
    <row r="47" spans="1:10" ht="19.5" customHeight="1">
      <c r="A47" s="157" t="s">
        <v>330</v>
      </c>
      <c r="B47" s="149">
        <v>100</v>
      </c>
      <c r="C47" s="158">
        <v>4642</v>
      </c>
      <c r="D47" s="158">
        <v>4</v>
      </c>
      <c r="E47" s="157"/>
      <c r="F47" s="159"/>
      <c r="G47" s="159"/>
      <c r="H47" s="157"/>
      <c r="I47" s="159"/>
      <c r="J47" s="159"/>
    </row>
    <row r="48" spans="1:10" ht="19.5" customHeight="1">
      <c r="A48" s="26" t="s">
        <v>306</v>
      </c>
      <c r="B48" s="17">
        <v>25</v>
      </c>
      <c r="C48" s="27">
        <v>4642</v>
      </c>
      <c r="D48" s="28">
        <v>4</v>
      </c>
      <c r="E48" s="26"/>
      <c r="F48" s="18">
        <v>321</v>
      </c>
      <c r="G48" s="18">
        <v>416</v>
      </c>
      <c r="H48" s="26">
        <v>2220</v>
      </c>
      <c r="I48" s="18"/>
      <c r="J48" s="18">
        <v>9</v>
      </c>
    </row>
    <row r="49" ht="14.25" customHeight="1"/>
    <row r="50" spans="1:2" s="39" customFormat="1" ht="19.5" customHeight="1">
      <c r="A50" s="50" t="s">
        <v>3</v>
      </c>
      <c r="B50" s="51">
        <f>B27+B36</f>
        <v>2111</v>
      </c>
    </row>
  </sheetData>
  <printOptions headings="1"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3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3" manualBreakCount="3">
    <brk id="24" max="255" man="1"/>
    <brk id="58" max="65535" man="1"/>
    <brk id="133" max="6553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1"/>
  <sheetViews>
    <sheetView workbookViewId="0" topLeftCell="A91">
      <selection activeCell="B93" sqref="B93"/>
    </sheetView>
  </sheetViews>
  <sheetFormatPr defaultColWidth="9.140625" defaultRowHeight="12.75"/>
  <cols>
    <col min="1" max="1" width="23.00390625" style="20" customWidth="1"/>
    <col min="2" max="2" width="12.28125" style="23" customWidth="1"/>
    <col min="3" max="3" width="10.00390625" style="20" customWidth="1"/>
    <col min="4" max="4" width="6.421875" style="20" customWidth="1"/>
    <col min="5" max="5" width="7.28125" style="20" customWidth="1"/>
    <col min="6" max="7" width="5.8515625" style="20" customWidth="1"/>
    <col min="8" max="8" width="5.7109375" style="20" bestFit="1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ht="19.5" customHeight="1">
      <c r="B1" s="21"/>
    </row>
    <row r="2" ht="19.5" customHeight="1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8" s="39" customFormat="1" ht="19.5" customHeight="1">
      <c r="A4" s="52" t="s">
        <v>207</v>
      </c>
      <c r="B4" s="47">
        <f>SUM(B5)</f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0" ht="19.5" customHeight="1">
      <c r="A5" s="16"/>
      <c r="B5" s="17"/>
      <c r="C5" s="86"/>
      <c r="D5" s="19"/>
      <c r="E5" s="18"/>
      <c r="F5" s="18"/>
      <c r="G5" s="18"/>
      <c r="H5" s="18"/>
      <c r="I5" s="18"/>
      <c r="J5" s="18"/>
    </row>
    <row r="6" s="38" customFormat="1" ht="19.5" customHeight="1"/>
    <row r="7" spans="1:18" s="39" customFormat="1" ht="19.5" customHeight="1">
      <c r="A7" s="52" t="s">
        <v>211</v>
      </c>
      <c r="B7" s="47">
        <f>SUM(B8:B17)</f>
        <v>1352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0" ht="19.5" customHeight="1">
      <c r="A8" s="16" t="s">
        <v>176</v>
      </c>
      <c r="B8" s="73">
        <f>SUM(B52:B59)</f>
        <v>940</v>
      </c>
      <c r="C8" s="86">
        <v>4641</v>
      </c>
      <c r="D8" s="19">
        <v>3614</v>
      </c>
      <c r="E8" s="18"/>
      <c r="F8" s="18">
        <v>3221</v>
      </c>
      <c r="G8" s="18">
        <v>1</v>
      </c>
      <c r="H8" s="18"/>
      <c r="I8" s="18"/>
      <c r="J8" s="18">
        <v>4602</v>
      </c>
    </row>
    <row r="9" spans="1:10" ht="19.5" customHeight="1">
      <c r="A9" s="16" t="s">
        <v>206</v>
      </c>
      <c r="B9" s="73">
        <f>SUM(B60:B63)</f>
        <v>121</v>
      </c>
      <c r="C9" s="86">
        <v>4643</v>
      </c>
      <c r="D9" s="19">
        <v>3614</v>
      </c>
      <c r="E9" s="18"/>
      <c r="F9" s="18">
        <v>3221</v>
      </c>
      <c r="G9" s="18">
        <v>1</v>
      </c>
      <c r="H9" s="18"/>
      <c r="I9" s="18"/>
      <c r="J9" s="18">
        <v>4602</v>
      </c>
    </row>
    <row r="10" spans="1:10" ht="19.5" customHeight="1">
      <c r="A10" s="16" t="s">
        <v>206</v>
      </c>
      <c r="B10" s="73">
        <f>SUM(B64:B67)</f>
        <v>75</v>
      </c>
      <c r="C10" s="86">
        <v>4644</v>
      </c>
      <c r="D10" s="19">
        <v>3614</v>
      </c>
      <c r="E10" s="18"/>
      <c r="F10" s="18">
        <v>3221</v>
      </c>
      <c r="G10" s="18">
        <v>1</v>
      </c>
      <c r="H10" s="18"/>
      <c r="I10" s="18"/>
      <c r="J10" s="18">
        <v>4602</v>
      </c>
    </row>
    <row r="11" spans="1:10" ht="19.5" customHeight="1">
      <c r="A11" s="16" t="s">
        <v>206</v>
      </c>
      <c r="B11" s="73">
        <f>SUM(B68:B69)</f>
        <v>75</v>
      </c>
      <c r="C11" s="86">
        <v>4646</v>
      </c>
      <c r="D11" s="19">
        <v>3614</v>
      </c>
      <c r="E11" s="18"/>
      <c r="F11" s="18">
        <v>3221</v>
      </c>
      <c r="G11" s="18">
        <v>1</v>
      </c>
      <c r="H11" s="18"/>
      <c r="I11" s="18"/>
      <c r="J11" s="18">
        <v>4602</v>
      </c>
    </row>
    <row r="12" spans="1:10" ht="19.5" customHeight="1">
      <c r="A12" s="127" t="s">
        <v>335</v>
      </c>
      <c r="B12" s="17">
        <f>18+17</f>
        <v>35</v>
      </c>
      <c r="C12" s="18">
        <v>4644</v>
      </c>
      <c r="D12" s="19">
        <v>31321</v>
      </c>
      <c r="E12" s="18"/>
      <c r="F12" s="18">
        <v>3221</v>
      </c>
      <c r="G12" s="18">
        <v>404</v>
      </c>
      <c r="H12" s="18"/>
      <c r="I12" s="18"/>
      <c r="J12" s="18">
        <v>88</v>
      </c>
    </row>
    <row r="13" spans="1:10" ht="19.5" customHeight="1">
      <c r="A13" s="127" t="s">
        <v>336</v>
      </c>
      <c r="B13" s="17">
        <f>12+13</f>
        <v>25</v>
      </c>
      <c r="C13" s="18">
        <v>4644</v>
      </c>
      <c r="D13" s="19">
        <v>31321</v>
      </c>
      <c r="E13" s="18"/>
      <c r="F13" s="18">
        <v>3221</v>
      </c>
      <c r="G13" s="18">
        <v>405</v>
      </c>
      <c r="H13" s="18"/>
      <c r="I13" s="18"/>
      <c r="J13" s="18">
        <v>88</v>
      </c>
    </row>
    <row r="14" spans="1:10" ht="19.5" customHeight="1">
      <c r="A14" s="127" t="s">
        <v>337</v>
      </c>
      <c r="B14" s="17">
        <v>8</v>
      </c>
      <c r="C14" s="18">
        <v>4644</v>
      </c>
      <c r="D14" s="19">
        <v>31321</v>
      </c>
      <c r="E14" s="18"/>
      <c r="F14" s="18">
        <v>3221</v>
      </c>
      <c r="G14" s="18">
        <v>406</v>
      </c>
      <c r="H14" s="18"/>
      <c r="I14" s="18"/>
      <c r="J14" s="18">
        <v>88</v>
      </c>
    </row>
    <row r="15" spans="1:10" ht="19.5" customHeight="1">
      <c r="A15" s="127" t="s">
        <v>338</v>
      </c>
      <c r="B15" s="17">
        <v>65</v>
      </c>
      <c r="C15" s="18">
        <v>4644</v>
      </c>
      <c r="D15" s="19">
        <v>31321</v>
      </c>
      <c r="E15" s="18"/>
      <c r="F15" s="18">
        <v>3221</v>
      </c>
      <c r="G15" s="18">
        <v>408</v>
      </c>
      <c r="H15" s="18"/>
      <c r="I15" s="18"/>
      <c r="J15" s="18">
        <v>88</v>
      </c>
    </row>
    <row r="16" spans="1:10" ht="19.5" customHeight="1">
      <c r="A16" s="127" t="s">
        <v>339</v>
      </c>
      <c r="B16" s="17">
        <v>8</v>
      </c>
      <c r="C16" s="18">
        <v>4644</v>
      </c>
      <c r="D16" s="19">
        <v>31321</v>
      </c>
      <c r="E16" s="18"/>
      <c r="F16" s="18">
        <v>3221</v>
      </c>
      <c r="G16" s="18">
        <v>426</v>
      </c>
      <c r="H16" s="18"/>
      <c r="I16" s="18"/>
      <c r="J16" s="18">
        <v>88</v>
      </c>
    </row>
    <row r="17" spans="1:10" ht="19.5" customHeight="1">
      <c r="A17" s="16" t="s">
        <v>316</v>
      </c>
      <c r="B17" s="17"/>
      <c r="C17" s="18"/>
      <c r="D17" s="19"/>
      <c r="E17" s="18"/>
      <c r="F17" s="18"/>
      <c r="G17" s="18"/>
      <c r="H17" s="18"/>
      <c r="I17" s="18"/>
      <c r="J17" s="18"/>
    </row>
    <row r="18" s="41" customFormat="1" ht="19.5" customHeight="1"/>
    <row r="19" spans="1:18" s="39" customFormat="1" ht="19.5" customHeight="1">
      <c r="A19" s="52" t="s">
        <v>212</v>
      </c>
      <c r="B19" s="47">
        <f>SUM(B20:B29)</f>
        <v>1604.48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0" ht="19.5" customHeight="1">
      <c r="A20" s="16" t="s">
        <v>177</v>
      </c>
      <c r="B20" s="73"/>
      <c r="C20" s="86">
        <v>4643</v>
      </c>
      <c r="D20" s="19">
        <v>3614</v>
      </c>
      <c r="E20" s="18"/>
      <c r="F20" s="18">
        <v>3222</v>
      </c>
      <c r="G20" s="18">
        <v>1</v>
      </c>
      <c r="H20" s="18"/>
      <c r="I20" s="18"/>
      <c r="J20" s="18">
        <v>4602</v>
      </c>
    </row>
    <row r="21" spans="1:10" ht="19.5" customHeight="1">
      <c r="A21" s="16" t="s">
        <v>214</v>
      </c>
      <c r="B21" s="73"/>
      <c r="C21" s="86">
        <v>4643</v>
      </c>
      <c r="D21" s="19">
        <v>3614</v>
      </c>
      <c r="E21" s="18"/>
      <c r="F21" s="18">
        <v>3222</v>
      </c>
      <c r="G21" s="18">
        <v>1</v>
      </c>
      <c r="H21" s="18"/>
      <c r="I21" s="18"/>
      <c r="J21" s="18">
        <v>4602</v>
      </c>
    </row>
    <row r="22" spans="1:10" ht="19.5" customHeight="1">
      <c r="A22" s="16" t="s">
        <v>104</v>
      </c>
      <c r="B22" s="17">
        <v>800</v>
      </c>
      <c r="C22" s="18">
        <v>4643</v>
      </c>
      <c r="D22" s="19">
        <v>3614</v>
      </c>
      <c r="E22" s="18"/>
      <c r="F22" s="18">
        <v>3222</v>
      </c>
      <c r="G22" s="18">
        <v>405</v>
      </c>
      <c r="H22" s="18"/>
      <c r="I22" s="18"/>
      <c r="J22" s="18">
        <v>4602</v>
      </c>
    </row>
    <row r="23" spans="1:10" ht="19.5" customHeight="1">
      <c r="A23" s="16" t="s">
        <v>105</v>
      </c>
      <c r="B23" s="17">
        <v>500</v>
      </c>
      <c r="C23" s="18">
        <v>4641</v>
      </c>
      <c r="D23" s="19">
        <v>3614</v>
      </c>
      <c r="E23" s="18"/>
      <c r="F23" s="18">
        <v>3222</v>
      </c>
      <c r="G23" s="18">
        <v>405</v>
      </c>
      <c r="H23" s="18"/>
      <c r="I23" s="18"/>
      <c r="J23" s="18">
        <v>88</v>
      </c>
    </row>
    <row r="24" spans="1:10" ht="19.5" customHeight="1">
      <c r="A24" s="16" t="s">
        <v>298</v>
      </c>
      <c r="B24" s="17">
        <v>15</v>
      </c>
      <c r="C24" s="18">
        <v>4647</v>
      </c>
      <c r="D24" s="19"/>
      <c r="E24" s="18"/>
      <c r="F24" s="18">
        <v>3222</v>
      </c>
      <c r="G24" s="18">
        <v>73</v>
      </c>
      <c r="H24" s="18"/>
      <c r="I24" s="18"/>
      <c r="J24" s="18"/>
    </row>
    <row r="25" spans="1:10" ht="19.5" customHeight="1">
      <c r="A25" s="16" t="s">
        <v>312</v>
      </c>
      <c r="B25" s="17">
        <f>SUM(200*20)/1000</f>
        <v>4</v>
      </c>
      <c r="C25" s="18">
        <v>4643</v>
      </c>
      <c r="D25" s="19">
        <v>31321</v>
      </c>
      <c r="E25" s="18"/>
      <c r="F25" s="18">
        <v>3222</v>
      </c>
      <c r="G25" s="18">
        <v>405</v>
      </c>
      <c r="H25" s="18"/>
      <c r="I25" s="18"/>
      <c r="J25" s="18">
        <v>9</v>
      </c>
    </row>
    <row r="26" spans="1:10" ht="19.5" customHeight="1">
      <c r="A26" s="16" t="s">
        <v>103</v>
      </c>
      <c r="B26" s="17">
        <f>SUM(148*700+11*520+160*750+11*560)*0.001</f>
        <v>235.48000000000002</v>
      </c>
      <c r="C26" s="18">
        <v>4643</v>
      </c>
      <c r="D26" s="19">
        <v>31321</v>
      </c>
      <c r="E26" s="18"/>
      <c r="F26" s="18">
        <v>3222</v>
      </c>
      <c r="G26" s="18">
        <v>405</v>
      </c>
      <c r="H26" s="18"/>
      <c r="I26" s="18"/>
      <c r="J26" s="18">
        <v>9</v>
      </c>
    </row>
    <row r="27" spans="1:10" ht="19.5" customHeight="1">
      <c r="A27" s="16" t="s">
        <v>345</v>
      </c>
      <c r="B27" s="17">
        <v>25</v>
      </c>
      <c r="C27" s="18">
        <v>4643</v>
      </c>
      <c r="D27" s="19">
        <v>31321</v>
      </c>
      <c r="E27" s="18"/>
      <c r="F27" s="18">
        <v>3222</v>
      </c>
      <c r="G27" s="18">
        <v>405</v>
      </c>
      <c r="H27" s="18">
        <v>2320</v>
      </c>
      <c r="I27" s="18"/>
      <c r="J27" s="18"/>
    </row>
    <row r="28" spans="1:10" ht="19.5" customHeight="1">
      <c r="A28" s="16" t="s">
        <v>346</v>
      </c>
      <c r="B28" s="17">
        <v>25</v>
      </c>
      <c r="C28" s="18">
        <v>4644</v>
      </c>
      <c r="D28" s="19">
        <v>31321</v>
      </c>
      <c r="E28" s="18"/>
      <c r="F28" s="18">
        <v>3222</v>
      </c>
      <c r="G28" s="18">
        <v>408</v>
      </c>
      <c r="H28" s="18"/>
      <c r="I28" s="18"/>
      <c r="J28" s="18"/>
    </row>
    <row r="29" spans="1:10" ht="19.5" customHeight="1">
      <c r="A29" s="16" t="s">
        <v>316</v>
      </c>
      <c r="B29" s="17"/>
      <c r="C29" s="18"/>
      <c r="D29" s="19"/>
      <c r="E29" s="18"/>
      <c r="F29" s="18"/>
      <c r="G29" s="18"/>
      <c r="H29" s="18"/>
      <c r="I29" s="18"/>
      <c r="J29" s="18"/>
    </row>
    <row r="30" ht="19.5" customHeight="1">
      <c r="B30" s="20"/>
    </row>
    <row r="31" spans="1:18" s="39" customFormat="1" ht="19.5" customHeight="1">
      <c r="A31" s="52" t="s">
        <v>215</v>
      </c>
      <c r="B31" s="47">
        <f>SUM(B32+B33)</f>
        <v>44.165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0" ht="19.5" customHeight="1">
      <c r="A32" s="16" t="s">
        <v>189</v>
      </c>
      <c r="B32" s="17">
        <f>SUM(17*995+25*1090)*0.001</f>
        <v>44.165</v>
      </c>
      <c r="C32" s="18">
        <v>4643</v>
      </c>
      <c r="D32" s="19">
        <v>31321</v>
      </c>
      <c r="E32" s="18"/>
      <c r="F32" s="18">
        <v>3223</v>
      </c>
      <c r="G32" s="18">
        <v>426</v>
      </c>
      <c r="H32" s="18"/>
      <c r="I32" s="18"/>
      <c r="J32" s="18">
        <v>9</v>
      </c>
    </row>
    <row r="33" spans="1:10" ht="19.5" customHeight="1">
      <c r="A33" s="16" t="s">
        <v>317</v>
      </c>
      <c r="B33" s="17"/>
      <c r="C33" s="18"/>
      <c r="D33" s="19"/>
      <c r="E33" s="18"/>
      <c r="F33" s="18"/>
      <c r="G33" s="18"/>
      <c r="H33" s="18"/>
      <c r="I33" s="18"/>
      <c r="J33" s="18"/>
    </row>
    <row r="34" s="38" customFormat="1" ht="19.5" customHeight="1"/>
    <row r="35" spans="1:18" s="39" customFormat="1" ht="19.5" customHeight="1">
      <c r="A35" s="52" t="s">
        <v>213</v>
      </c>
      <c r="B35" s="47">
        <f>SUM(B36:B39)</f>
        <v>218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0" ht="19.5" customHeight="1">
      <c r="A36" s="16" t="s">
        <v>106</v>
      </c>
      <c r="B36" s="17">
        <v>35</v>
      </c>
      <c r="C36" s="18">
        <v>4642</v>
      </c>
      <c r="D36" s="19">
        <v>3614</v>
      </c>
      <c r="E36" s="18"/>
      <c r="F36" s="18">
        <v>3224</v>
      </c>
      <c r="G36" s="18">
        <v>404</v>
      </c>
      <c r="H36" s="18">
        <v>2216</v>
      </c>
      <c r="I36" s="18"/>
      <c r="J36" s="18">
        <v>4602</v>
      </c>
    </row>
    <row r="37" spans="1:10" ht="19.5" customHeight="1">
      <c r="A37" s="16" t="s">
        <v>300</v>
      </c>
      <c r="B37" s="17">
        <v>163</v>
      </c>
      <c r="C37" s="18">
        <v>4642</v>
      </c>
      <c r="D37" s="19">
        <v>31321</v>
      </c>
      <c r="E37" s="18"/>
      <c r="F37" s="18">
        <v>3224</v>
      </c>
      <c r="G37" s="18">
        <v>404</v>
      </c>
      <c r="H37" s="18">
        <v>2216</v>
      </c>
      <c r="I37" s="18"/>
      <c r="J37" s="18">
        <v>9</v>
      </c>
    </row>
    <row r="38" spans="1:10" ht="19.5" customHeight="1">
      <c r="A38" s="16" t="s">
        <v>47</v>
      </c>
      <c r="B38" s="17">
        <v>20</v>
      </c>
      <c r="C38" s="18">
        <v>4642</v>
      </c>
      <c r="D38" s="19">
        <v>353</v>
      </c>
      <c r="E38" s="18"/>
      <c r="F38" s="18">
        <v>3224</v>
      </c>
      <c r="G38" s="18">
        <v>404</v>
      </c>
      <c r="H38" s="18">
        <v>2216</v>
      </c>
      <c r="I38" s="18"/>
      <c r="J38" s="18">
        <v>9</v>
      </c>
    </row>
    <row r="39" spans="1:10" ht="19.5" customHeight="1">
      <c r="A39" s="16" t="s">
        <v>316</v>
      </c>
      <c r="B39" s="17"/>
      <c r="C39" s="18"/>
      <c r="D39" s="19"/>
      <c r="E39" s="18"/>
      <c r="F39" s="18"/>
      <c r="G39" s="18"/>
      <c r="H39" s="18"/>
      <c r="I39" s="18"/>
      <c r="J39" s="18"/>
    </row>
    <row r="40" spans="1:2" s="39" customFormat="1" ht="19.5" customHeight="1">
      <c r="A40" s="49" t="s">
        <v>4</v>
      </c>
      <c r="B40" s="48">
        <f>B4+B7+B19+B31+B35</f>
        <v>3218.645</v>
      </c>
    </row>
    <row r="41" s="41" customFormat="1" ht="19.5" customHeight="1"/>
    <row r="42" s="41" customFormat="1" ht="12.75"/>
    <row r="43" s="41" customFormat="1" ht="12.75"/>
    <row r="44" s="41" customFormat="1" ht="12.75"/>
    <row r="45" s="25" customFormat="1" ht="15"/>
    <row r="46" s="25" customFormat="1" ht="15"/>
    <row r="47" s="25" customFormat="1" ht="15"/>
    <row r="48" s="25" customFormat="1" ht="15"/>
    <row r="49" s="25" customFormat="1" ht="15"/>
    <row r="50" spans="1:10" s="24" customFormat="1" ht="18">
      <c r="A50" s="22" t="s">
        <v>0</v>
      </c>
      <c r="B50" s="48" t="s">
        <v>6</v>
      </c>
      <c r="C50" s="49" t="s">
        <v>7</v>
      </c>
      <c r="D50" s="49" t="s">
        <v>39</v>
      </c>
      <c r="E50" s="49" t="s">
        <v>8</v>
      </c>
      <c r="F50" s="49" t="s">
        <v>9</v>
      </c>
      <c r="G50" s="49" t="s">
        <v>10</v>
      </c>
      <c r="H50" s="49" t="s">
        <v>48</v>
      </c>
      <c r="I50" s="49" t="s">
        <v>40</v>
      </c>
      <c r="J50" s="49" t="s">
        <v>12</v>
      </c>
    </row>
    <row r="51" spans="1:18" s="39" customFormat="1" ht="19.5" customHeight="1">
      <c r="A51" s="52" t="s">
        <v>209</v>
      </c>
      <c r="B51" s="47">
        <f>SUM(B52:B69)</f>
        <v>1211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26" ht="19.5" customHeight="1">
      <c r="A52" s="142" t="s">
        <v>193</v>
      </c>
      <c r="B52" s="73">
        <v>184</v>
      </c>
      <c r="C52" s="27">
        <v>4641</v>
      </c>
      <c r="D52" s="28">
        <v>4</v>
      </c>
      <c r="E52" s="27"/>
      <c r="F52" s="18">
        <v>3221</v>
      </c>
      <c r="G52" s="18">
        <v>113</v>
      </c>
      <c r="H52" s="18"/>
      <c r="I52" s="18"/>
      <c r="J52" s="27">
        <v>9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9.5" customHeight="1">
      <c r="A53" s="142" t="s">
        <v>13</v>
      </c>
      <c r="B53" s="85">
        <v>72</v>
      </c>
      <c r="C53" s="27">
        <v>4641</v>
      </c>
      <c r="D53" s="28">
        <v>4</v>
      </c>
      <c r="E53" s="27"/>
      <c r="F53" s="27">
        <v>3221</v>
      </c>
      <c r="G53" s="18">
        <v>113</v>
      </c>
      <c r="H53" s="18"/>
      <c r="I53" s="18"/>
      <c r="J53" s="27">
        <v>9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9.5" customHeight="1">
      <c r="A54" s="26" t="s">
        <v>194</v>
      </c>
      <c r="B54" s="17">
        <v>124</v>
      </c>
      <c r="C54" s="27">
        <v>4641</v>
      </c>
      <c r="D54" s="28">
        <v>4</v>
      </c>
      <c r="E54" s="27"/>
      <c r="F54" s="18">
        <v>3221</v>
      </c>
      <c r="G54" s="18">
        <v>114</v>
      </c>
      <c r="H54" s="18"/>
      <c r="I54" s="18"/>
      <c r="J54" s="27">
        <v>9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9.5" customHeight="1">
      <c r="A55" s="26" t="s">
        <v>13</v>
      </c>
      <c r="B55" s="27">
        <v>48</v>
      </c>
      <c r="C55" s="27">
        <v>4641</v>
      </c>
      <c r="D55" s="28">
        <v>4</v>
      </c>
      <c r="E55" s="27"/>
      <c r="F55" s="27">
        <v>3221</v>
      </c>
      <c r="G55" s="18">
        <v>114</v>
      </c>
      <c r="H55" s="18"/>
      <c r="I55" s="18"/>
      <c r="J55" s="27">
        <v>9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9.5" customHeight="1">
      <c r="A56" s="26" t="s">
        <v>195</v>
      </c>
      <c r="B56" s="17">
        <v>185</v>
      </c>
      <c r="C56" s="27">
        <v>4641</v>
      </c>
      <c r="D56" s="28">
        <v>4</v>
      </c>
      <c r="E56" s="27"/>
      <c r="F56" s="18">
        <v>3221</v>
      </c>
      <c r="G56" s="18">
        <v>115</v>
      </c>
      <c r="H56" s="18"/>
      <c r="I56" s="18"/>
      <c r="J56" s="27">
        <v>9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9.5" customHeight="1">
      <c r="A57" s="26" t="s">
        <v>13</v>
      </c>
      <c r="B57" s="27">
        <v>71</v>
      </c>
      <c r="C57" s="27">
        <v>4641</v>
      </c>
      <c r="D57" s="28">
        <v>4</v>
      </c>
      <c r="E57" s="27"/>
      <c r="F57" s="27">
        <v>3221</v>
      </c>
      <c r="G57" s="18">
        <v>115</v>
      </c>
      <c r="H57" s="18"/>
      <c r="I57" s="18"/>
      <c r="J57" s="27">
        <v>9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9.5" customHeight="1">
      <c r="A58" s="26" t="s">
        <v>196</v>
      </c>
      <c r="B58" s="17">
        <v>185</v>
      </c>
      <c r="C58" s="27">
        <v>4641</v>
      </c>
      <c r="D58" s="28">
        <v>4</v>
      </c>
      <c r="E58" s="27"/>
      <c r="F58" s="18">
        <v>3221</v>
      </c>
      <c r="G58" s="18">
        <v>116</v>
      </c>
      <c r="H58" s="18"/>
      <c r="I58" s="18"/>
      <c r="J58" s="27">
        <v>9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9.5" customHeight="1">
      <c r="A59" s="26" t="s">
        <v>13</v>
      </c>
      <c r="B59" s="27">
        <v>71</v>
      </c>
      <c r="C59" s="27">
        <v>4641</v>
      </c>
      <c r="D59" s="28">
        <v>4</v>
      </c>
      <c r="E59" s="27"/>
      <c r="F59" s="27">
        <v>3221</v>
      </c>
      <c r="G59" s="18">
        <v>116</v>
      </c>
      <c r="H59" s="18"/>
      <c r="I59" s="18"/>
      <c r="J59" s="27">
        <v>9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9.5" customHeight="1">
      <c r="A60" s="26" t="s">
        <v>197</v>
      </c>
      <c r="B60" s="17">
        <v>71</v>
      </c>
      <c r="C60" s="85">
        <v>4643</v>
      </c>
      <c r="D60" s="28">
        <v>4</v>
      </c>
      <c r="E60" s="27"/>
      <c r="F60" s="18">
        <v>3221</v>
      </c>
      <c r="G60" s="18">
        <v>124</v>
      </c>
      <c r="H60" s="18"/>
      <c r="I60" s="18"/>
      <c r="J60" s="27">
        <v>9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9.5" customHeight="1">
      <c r="A61" s="26" t="s">
        <v>13</v>
      </c>
      <c r="B61" s="27">
        <v>27</v>
      </c>
      <c r="C61" s="85">
        <v>4643</v>
      </c>
      <c r="D61" s="28">
        <v>4</v>
      </c>
      <c r="E61" s="27"/>
      <c r="F61" s="27">
        <v>3221</v>
      </c>
      <c r="G61" s="18">
        <v>124</v>
      </c>
      <c r="H61" s="18"/>
      <c r="I61" s="18"/>
      <c r="J61" s="27">
        <v>9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9.5" customHeight="1">
      <c r="A62" s="26" t="s">
        <v>200</v>
      </c>
      <c r="B62" s="27">
        <v>17</v>
      </c>
      <c r="C62" s="85">
        <v>4643</v>
      </c>
      <c r="D62" s="28">
        <v>4</v>
      </c>
      <c r="E62" s="27"/>
      <c r="F62" s="27">
        <v>3221</v>
      </c>
      <c r="G62" s="18">
        <v>129</v>
      </c>
      <c r="H62" s="18"/>
      <c r="I62" s="18"/>
      <c r="J62" s="27">
        <v>9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9.5" customHeight="1">
      <c r="A63" s="26" t="s">
        <v>13</v>
      </c>
      <c r="B63" s="27">
        <v>6</v>
      </c>
      <c r="C63" s="85">
        <v>4643</v>
      </c>
      <c r="D63" s="28">
        <v>4</v>
      </c>
      <c r="E63" s="27"/>
      <c r="F63" s="27">
        <v>3221</v>
      </c>
      <c r="G63" s="18">
        <v>129</v>
      </c>
      <c r="H63" s="18"/>
      <c r="I63" s="18"/>
      <c r="J63" s="27">
        <v>9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9.5" customHeight="1">
      <c r="A64" s="26" t="s">
        <v>199</v>
      </c>
      <c r="B64" s="17">
        <v>25</v>
      </c>
      <c r="C64" s="85">
        <v>4644</v>
      </c>
      <c r="D64" s="28">
        <v>4</v>
      </c>
      <c r="E64" s="27"/>
      <c r="F64" s="18">
        <v>3221</v>
      </c>
      <c r="G64" s="18">
        <v>125</v>
      </c>
      <c r="H64" s="18"/>
      <c r="I64" s="18"/>
      <c r="J64" s="27">
        <v>9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9.5" customHeight="1">
      <c r="A65" s="26" t="s">
        <v>13</v>
      </c>
      <c r="B65" s="27">
        <v>10</v>
      </c>
      <c r="C65" s="85">
        <v>4644</v>
      </c>
      <c r="D65" s="28">
        <v>4</v>
      </c>
      <c r="E65" s="27"/>
      <c r="F65" s="27">
        <v>3221</v>
      </c>
      <c r="G65" s="18">
        <v>125</v>
      </c>
      <c r="H65" s="18"/>
      <c r="I65" s="18"/>
      <c r="J65" s="27">
        <v>9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9.5" customHeight="1">
      <c r="A66" s="26" t="s">
        <v>202</v>
      </c>
      <c r="B66" s="27">
        <v>29</v>
      </c>
      <c r="C66" s="85">
        <v>4644</v>
      </c>
      <c r="D66" s="28">
        <v>4</v>
      </c>
      <c r="E66" s="27"/>
      <c r="F66" s="27">
        <v>3221</v>
      </c>
      <c r="G66" s="18">
        <v>129</v>
      </c>
      <c r="H66" s="18"/>
      <c r="I66" s="18"/>
      <c r="J66" s="27">
        <v>9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9.5" customHeight="1">
      <c r="A67" s="26" t="s">
        <v>13</v>
      </c>
      <c r="B67" s="27">
        <v>11</v>
      </c>
      <c r="C67" s="85">
        <v>4644</v>
      </c>
      <c r="D67" s="28">
        <v>4</v>
      </c>
      <c r="E67" s="27"/>
      <c r="F67" s="27">
        <v>3221</v>
      </c>
      <c r="G67" s="18">
        <v>129</v>
      </c>
      <c r="H67" s="18"/>
      <c r="I67" s="18"/>
      <c r="J67" s="27">
        <v>9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9.5" customHeight="1">
      <c r="A68" s="26" t="s">
        <v>198</v>
      </c>
      <c r="B68" s="27">
        <v>54</v>
      </c>
      <c r="C68" s="85">
        <v>4646</v>
      </c>
      <c r="D68" s="28">
        <v>4</v>
      </c>
      <c r="E68" s="27"/>
      <c r="F68" s="27">
        <v>3221</v>
      </c>
      <c r="G68" s="18">
        <v>129</v>
      </c>
      <c r="H68" s="18"/>
      <c r="I68" s="18"/>
      <c r="J68" s="27">
        <v>9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9.5" customHeight="1">
      <c r="A69" s="26" t="s">
        <v>13</v>
      </c>
      <c r="B69" s="27">
        <v>21</v>
      </c>
      <c r="C69" s="85">
        <v>4646</v>
      </c>
      <c r="D69" s="28">
        <v>4</v>
      </c>
      <c r="E69" s="27"/>
      <c r="F69" s="27">
        <v>3221</v>
      </c>
      <c r="G69" s="18">
        <v>129</v>
      </c>
      <c r="H69" s="18"/>
      <c r="I69" s="18"/>
      <c r="J69" s="27">
        <v>9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9.5" customHeight="1">
      <c r="A70" s="157" t="s">
        <v>332</v>
      </c>
      <c r="B70" s="158">
        <v>10</v>
      </c>
      <c r="C70" s="158">
        <v>4641</v>
      </c>
      <c r="D70" s="158">
        <v>4</v>
      </c>
      <c r="E70" s="158"/>
      <c r="F70" s="158">
        <v>3221</v>
      </c>
      <c r="G70" s="159">
        <v>1</v>
      </c>
      <c r="H70" s="159"/>
      <c r="I70" s="159"/>
      <c r="J70" s="158">
        <v>9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9.5" customHeight="1">
      <c r="A71" s="35"/>
      <c r="B71" s="36"/>
      <c r="C71" s="143"/>
      <c r="D71" s="37"/>
      <c r="E71" s="36"/>
      <c r="F71" s="36"/>
      <c r="G71" s="38"/>
      <c r="H71" s="38"/>
      <c r="I71" s="38"/>
      <c r="J71" s="36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9.5" customHeight="1">
      <c r="A72" s="52" t="s">
        <v>217</v>
      </c>
      <c r="B72" s="47">
        <f>SUM(B73:B78)</f>
        <v>141</v>
      </c>
      <c r="C72" s="41"/>
      <c r="D72" s="41"/>
      <c r="E72" s="41"/>
      <c r="F72" s="41"/>
      <c r="G72" s="41"/>
      <c r="H72" s="41"/>
      <c r="I72" s="41"/>
      <c r="J72" s="4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9.5" customHeight="1">
      <c r="A73" s="26" t="s">
        <v>340</v>
      </c>
      <c r="B73" s="73">
        <v>28</v>
      </c>
      <c r="C73" s="27">
        <v>4644</v>
      </c>
      <c r="D73" s="28">
        <v>4</v>
      </c>
      <c r="E73" s="18"/>
      <c r="F73" s="18">
        <v>3221</v>
      </c>
      <c r="G73" s="18">
        <v>404</v>
      </c>
      <c r="H73" s="18"/>
      <c r="I73" s="18"/>
      <c r="J73" s="18">
        <v>9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9.5" customHeight="1">
      <c r="A74" s="26" t="s">
        <v>341</v>
      </c>
      <c r="B74" s="73">
        <v>20</v>
      </c>
      <c r="C74" s="27">
        <v>4644</v>
      </c>
      <c r="D74" s="28">
        <v>4</v>
      </c>
      <c r="E74" s="18"/>
      <c r="F74" s="18">
        <v>3221</v>
      </c>
      <c r="G74" s="18">
        <v>405</v>
      </c>
      <c r="H74" s="18"/>
      <c r="I74" s="18"/>
      <c r="J74" s="18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9.5" customHeight="1">
      <c r="A75" s="26" t="s">
        <v>342</v>
      </c>
      <c r="B75" s="73">
        <v>5</v>
      </c>
      <c r="C75" s="27">
        <v>4644</v>
      </c>
      <c r="D75" s="28">
        <v>4</v>
      </c>
      <c r="E75" s="18"/>
      <c r="F75" s="18">
        <v>3221</v>
      </c>
      <c r="G75" s="18">
        <v>406</v>
      </c>
      <c r="H75" s="18"/>
      <c r="I75" s="18"/>
      <c r="J75" s="18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9.5" customHeight="1">
      <c r="A76" s="26" t="s">
        <v>343</v>
      </c>
      <c r="B76" s="73">
        <v>75</v>
      </c>
      <c r="C76" s="27">
        <v>4644</v>
      </c>
      <c r="D76" s="28">
        <v>4</v>
      </c>
      <c r="E76" s="18"/>
      <c r="F76" s="18">
        <v>3221</v>
      </c>
      <c r="G76" s="18">
        <v>408</v>
      </c>
      <c r="H76" s="18"/>
      <c r="I76" s="18"/>
      <c r="J76" s="18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9.5" customHeight="1">
      <c r="A77" s="26" t="s">
        <v>344</v>
      </c>
      <c r="B77" s="73">
        <v>13</v>
      </c>
      <c r="C77" s="27">
        <v>4644</v>
      </c>
      <c r="D77" s="28">
        <v>4</v>
      </c>
      <c r="E77" s="18"/>
      <c r="F77" s="18">
        <v>3221</v>
      </c>
      <c r="G77" s="18">
        <v>426</v>
      </c>
      <c r="H77" s="18"/>
      <c r="I77" s="18"/>
      <c r="J77" s="18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9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9.5" customHeight="1">
      <c r="A79" s="35"/>
      <c r="B79" s="36"/>
      <c r="C79" s="143"/>
      <c r="D79" s="37"/>
      <c r="E79" s="36"/>
      <c r="F79" s="36"/>
      <c r="G79" s="38"/>
      <c r="H79" s="38"/>
      <c r="I79" s="38"/>
      <c r="J79" s="36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1" spans="1:18" s="39" customFormat="1" ht="19.5" customHeight="1">
      <c r="A81" s="52" t="s">
        <v>210</v>
      </c>
      <c r="B81" s="47">
        <f>SUM(B82:B91)</f>
        <v>1054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26" ht="19.5" customHeight="1">
      <c r="A82" s="26" t="s">
        <v>107</v>
      </c>
      <c r="B82" s="17">
        <v>130</v>
      </c>
      <c r="C82" s="27">
        <v>4643</v>
      </c>
      <c r="D82" s="28">
        <v>4</v>
      </c>
      <c r="E82" s="27"/>
      <c r="F82" s="18">
        <v>3222</v>
      </c>
      <c r="G82" s="18">
        <v>112</v>
      </c>
      <c r="H82" s="18"/>
      <c r="I82" s="18"/>
      <c r="J82" s="27">
        <v>9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9.5" customHeight="1">
      <c r="A83" s="26" t="s">
        <v>13</v>
      </c>
      <c r="B83" s="27">
        <v>50</v>
      </c>
      <c r="C83" s="27">
        <v>4643</v>
      </c>
      <c r="D83" s="28">
        <v>4</v>
      </c>
      <c r="E83" s="27"/>
      <c r="F83" s="27">
        <v>3222</v>
      </c>
      <c r="G83" s="18">
        <v>112</v>
      </c>
      <c r="H83" s="18"/>
      <c r="I83" s="18"/>
      <c r="J83" s="27">
        <v>9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9.5" customHeight="1">
      <c r="A84" s="26" t="s">
        <v>313</v>
      </c>
      <c r="B84" s="17">
        <v>445</v>
      </c>
      <c r="C84" s="27">
        <v>4643</v>
      </c>
      <c r="D84" s="28">
        <v>4</v>
      </c>
      <c r="E84" s="27"/>
      <c r="F84" s="18">
        <v>3222</v>
      </c>
      <c r="G84" s="18">
        <v>113</v>
      </c>
      <c r="H84" s="18"/>
      <c r="I84" s="18"/>
      <c r="J84" s="27">
        <v>9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9.5" customHeight="1">
      <c r="A85" s="26" t="s">
        <v>13</v>
      </c>
      <c r="B85" s="27">
        <v>177</v>
      </c>
      <c r="C85" s="27">
        <v>4643</v>
      </c>
      <c r="D85" s="28">
        <v>4</v>
      </c>
      <c r="E85" s="27"/>
      <c r="F85" s="27">
        <v>3222</v>
      </c>
      <c r="G85" s="18">
        <v>113</v>
      </c>
      <c r="H85" s="18"/>
      <c r="I85" s="18"/>
      <c r="J85" s="27">
        <v>9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9.5" customHeight="1">
      <c r="A86" s="26" t="s">
        <v>292</v>
      </c>
      <c r="B86" s="27">
        <v>103</v>
      </c>
      <c r="C86" s="27">
        <v>4643</v>
      </c>
      <c r="D86" s="28">
        <v>4</v>
      </c>
      <c r="E86" s="27"/>
      <c r="F86" s="27">
        <v>3222</v>
      </c>
      <c r="G86" s="18">
        <v>113</v>
      </c>
      <c r="H86" s="18"/>
      <c r="I86" s="18"/>
      <c r="J86" s="27">
        <v>9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9.5" customHeight="1">
      <c r="A87" s="26" t="s">
        <v>13</v>
      </c>
      <c r="B87" s="27">
        <v>41</v>
      </c>
      <c r="C87" s="27">
        <v>4643</v>
      </c>
      <c r="D87" s="28">
        <v>4</v>
      </c>
      <c r="E87" s="27"/>
      <c r="F87" s="27">
        <v>3222</v>
      </c>
      <c r="G87" s="18">
        <v>113</v>
      </c>
      <c r="H87" s="18"/>
      <c r="I87" s="18"/>
      <c r="J87" s="27">
        <v>9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9.5" customHeight="1">
      <c r="A88" s="26" t="s">
        <v>108</v>
      </c>
      <c r="B88" s="94">
        <v>72</v>
      </c>
      <c r="C88" s="85">
        <v>4643</v>
      </c>
      <c r="D88" s="28">
        <v>4</v>
      </c>
      <c r="E88" s="27"/>
      <c r="F88" s="18">
        <v>3222</v>
      </c>
      <c r="G88" s="18">
        <v>123</v>
      </c>
      <c r="H88" s="18"/>
      <c r="I88" s="18"/>
      <c r="J88" s="27">
        <v>9</v>
      </c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9.5" customHeight="1">
      <c r="A89" s="26" t="s">
        <v>13</v>
      </c>
      <c r="B89" s="95">
        <v>28</v>
      </c>
      <c r="C89" s="85">
        <v>4643</v>
      </c>
      <c r="D89" s="28">
        <v>4</v>
      </c>
      <c r="E89" s="27"/>
      <c r="F89" s="27">
        <v>3222</v>
      </c>
      <c r="G89" s="18">
        <v>123</v>
      </c>
      <c r="H89" s="18"/>
      <c r="I89" s="18"/>
      <c r="J89" s="27">
        <v>9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9.5" customHeight="1">
      <c r="A90" s="26" t="s">
        <v>314</v>
      </c>
      <c r="B90" s="95">
        <f>SUM(25*240)/1000</f>
        <v>6</v>
      </c>
      <c r="C90" s="85">
        <v>4643</v>
      </c>
      <c r="D90" s="28">
        <v>4</v>
      </c>
      <c r="E90" s="27"/>
      <c r="F90" s="27">
        <v>3222</v>
      </c>
      <c r="G90" s="18">
        <v>16</v>
      </c>
      <c r="H90" s="18"/>
      <c r="I90" s="18"/>
      <c r="J90" s="27">
        <v>9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9.5" customHeight="1">
      <c r="A91" s="26" t="s">
        <v>13</v>
      </c>
      <c r="B91" s="94">
        <v>2</v>
      </c>
      <c r="C91" s="85">
        <v>4643</v>
      </c>
      <c r="D91" s="28">
        <v>4</v>
      </c>
      <c r="E91" s="27"/>
      <c r="F91" s="18">
        <v>3222</v>
      </c>
      <c r="G91" s="18">
        <v>16</v>
      </c>
      <c r="H91" s="18"/>
      <c r="I91" s="18"/>
      <c r="J91" s="27">
        <v>9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3" spans="1:10" ht="16.5" customHeight="1">
      <c r="A93" s="52" t="s">
        <v>218</v>
      </c>
      <c r="B93" s="47">
        <f>SUM(B94:B99)</f>
        <v>640</v>
      </c>
      <c r="C93" s="41"/>
      <c r="D93" s="41"/>
      <c r="E93" s="41"/>
      <c r="F93" s="41"/>
      <c r="G93" s="41"/>
      <c r="H93" s="41"/>
      <c r="I93" s="41"/>
      <c r="J93" s="41"/>
    </row>
    <row r="94" spans="1:26" ht="19.5" customHeight="1">
      <c r="A94" s="26" t="s">
        <v>172</v>
      </c>
      <c r="B94" s="17">
        <v>75</v>
      </c>
      <c r="C94" s="27">
        <v>4643</v>
      </c>
      <c r="D94" s="28">
        <v>4</v>
      </c>
      <c r="E94" s="18"/>
      <c r="F94" s="18">
        <v>3222</v>
      </c>
      <c r="G94" s="18">
        <v>405</v>
      </c>
      <c r="H94" s="18"/>
      <c r="I94" s="18"/>
      <c r="J94" s="18">
        <v>9</v>
      </c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9.5" customHeight="1">
      <c r="A95" s="26" t="s">
        <v>311</v>
      </c>
      <c r="B95" s="17">
        <v>70</v>
      </c>
      <c r="C95" s="27">
        <v>4643</v>
      </c>
      <c r="D95" s="28">
        <v>4</v>
      </c>
      <c r="E95" s="18"/>
      <c r="F95" s="18">
        <v>3222</v>
      </c>
      <c r="G95" s="18">
        <v>405</v>
      </c>
      <c r="H95" s="18"/>
      <c r="I95" s="18"/>
      <c r="J95" s="18">
        <v>9</v>
      </c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7.25" customHeight="1">
      <c r="A96" s="26" t="s">
        <v>297</v>
      </c>
      <c r="B96" s="17">
        <v>45</v>
      </c>
      <c r="C96" s="27">
        <v>4647</v>
      </c>
      <c r="D96" s="28">
        <v>4</v>
      </c>
      <c r="E96" s="18">
        <v>7</v>
      </c>
      <c r="F96" s="18">
        <v>3222</v>
      </c>
      <c r="G96" s="18">
        <v>73</v>
      </c>
      <c r="H96" s="18"/>
      <c r="I96" s="18"/>
      <c r="J96" s="18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7.25" customHeight="1">
      <c r="A97" s="162" t="s">
        <v>347</v>
      </c>
      <c r="B97" s="155">
        <v>75</v>
      </c>
      <c r="C97" s="163">
        <v>4643</v>
      </c>
      <c r="D97" s="163">
        <v>4</v>
      </c>
      <c r="E97" s="156"/>
      <c r="F97" s="156">
        <v>3222</v>
      </c>
      <c r="G97" s="156">
        <v>405</v>
      </c>
      <c r="H97" s="156">
        <v>2320</v>
      </c>
      <c r="I97" s="156"/>
      <c r="J97" s="156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7.25" customHeight="1">
      <c r="A98" s="162" t="s">
        <v>348</v>
      </c>
      <c r="B98" s="155">
        <v>60</v>
      </c>
      <c r="C98" s="163">
        <v>4644</v>
      </c>
      <c r="D98" s="163">
        <v>4</v>
      </c>
      <c r="E98" s="156"/>
      <c r="F98" s="156">
        <v>3222</v>
      </c>
      <c r="G98" s="156">
        <v>408</v>
      </c>
      <c r="H98" s="156"/>
      <c r="I98" s="156"/>
      <c r="J98" s="156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7.25" customHeight="1">
      <c r="A99" s="157" t="s">
        <v>349</v>
      </c>
      <c r="B99" s="149">
        <v>315</v>
      </c>
      <c r="C99" s="158">
        <v>4643</v>
      </c>
      <c r="D99" s="158">
        <v>4</v>
      </c>
      <c r="E99" s="159"/>
      <c r="F99" s="159">
        <v>3222</v>
      </c>
      <c r="G99" s="159">
        <v>7</v>
      </c>
      <c r="H99" s="159"/>
      <c r="I99" s="159"/>
      <c r="J99" s="159">
        <v>9</v>
      </c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7.25" customHeight="1">
      <c r="A100" s="35"/>
      <c r="B100" s="145"/>
      <c r="C100" s="36"/>
      <c r="D100" s="37"/>
      <c r="E100" s="38"/>
      <c r="F100" s="38"/>
      <c r="G100" s="38"/>
      <c r="H100" s="38"/>
      <c r="I100" s="38"/>
      <c r="J100" s="38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7.25" customHeight="1">
      <c r="A101" s="52" t="s">
        <v>34</v>
      </c>
      <c r="B101" s="46">
        <f>SUM(B102:B104)</f>
        <v>311</v>
      </c>
      <c r="C101" s="41"/>
      <c r="D101" s="41"/>
      <c r="E101" s="41"/>
      <c r="F101" s="41"/>
      <c r="G101" s="41"/>
      <c r="H101" s="41"/>
      <c r="I101" s="41"/>
      <c r="J101" s="4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7.25" customHeight="1">
      <c r="A102" s="16" t="s">
        <v>175</v>
      </c>
      <c r="B102" s="17">
        <v>45</v>
      </c>
      <c r="C102" s="27">
        <v>4643</v>
      </c>
      <c r="D102" s="28">
        <v>4</v>
      </c>
      <c r="E102" s="18"/>
      <c r="F102" s="18">
        <v>3222</v>
      </c>
      <c r="G102" s="18">
        <v>81</v>
      </c>
      <c r="H102" s="18"/>
      <c r="I102" s="18"/>
      <c r="J102" s="18">
        <v>9</v>
      </c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7.25" customHeight="1">
      <c r="A103" s="16" t="s">
        <v>181</v>
      </c>
      <c r="B103" s="17">
        <v>266</v>
      </c>
      <c r="C103" s="27">
        <v>4643</v>
      </c>
      <c r="D103" s="28">
        <v>4</v>
      </c>
      <c r="E103" s="18"/>
      <c r="F103" s="18">
        <v>3222</v>
      </c>
      <c r="G103" s="18">
        <v>82</v>
      </c>
      <c r="H103" s="18"/>
      <c r="I103" s="18"/>
      <c r="J103" s="18">
        <v>88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7.25" customHeight="1">
      <c r="A104" s="16"/>
      <c r="B104" s="17"/>
      <c r="C104" s="27"/>
      <c r="D104" s="28">
        <v>4</v>
      </c>
      <c r="E104" s="18"/>
      <c r="F104" s="18"/>
      <c r="G104" s="18"/>
      <c r="H104" s="18"/>
      <c r="I104" s="18"/>
      <c r="J104" s="18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7.25" customHeight="1">
      <c r="A105" s="35"/>
      <c r="B105" s="145"/>
      <c r="C105" s="36"/>
      <c r="D105" s="37"/>
      <c r="E105" s="38"/>
      <c r="F105" s="38"/>
      <c r="G105" s="38"/>
      <c r="H105" s="38"/>
      <c r="I105" s="38"/>
      <c r="J105" s="38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7.25" customHeight="1">
      <c r="A106" s="35"/>
      <c r="B106" s="36"/>
      <c r="C106" s="36"/>
      <c r="D106" s="37"/>
      <c r="E106" s="36"/>
      <c r="F106" s="36"/>
      <c r="G106" s="38"/>
      <c r="H106" s="38"/>
      <c r="I106" s="38"/>
      <c r="J106" s="36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7.25" customHeight="1">
      <c r="A107" s="35"/>
      <c r="B107" s="36"/>
      <c r="C107" s="36"/>
      <c r="D107" s="37"/>
      <c r="E107" s="36"/>
      <c r="F107" s="36"/>
      <c r="G107" s="38"/>
      <c r="H107" s="38"/>
      <c r="I107" s="38"/>
      <c r="J107" s="36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7.25" customHeight="1">
      <c r="A108" s="52" t="s">
        <v>208</v>
      </c>
      <c r="B108" s="47">
        <f>SUM(B109:B110)</f>
        <v>24</v>
      </c>
      <c r="C108" s="41"/>
      <c r="D108" s="41"/>
      <c r="E108" s="41"/>
      <c r="F108" s="41"/>
      <c r="G108" s="41"/>
      <c r="H108" s="41"/>
      <c r="I108" s="41"/>
      <c r="J108" s="4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7.25" customHeight="1">
      <c r="A109" s="26" t="s">
        <v>190</v>
      </c>
      <c r="B109" s="94">
        <v>17</v>
      </c>
      <c r="C109" s="85">
        <v>4643</v>
      </c>
      <c r="D109" s="28">
        <v>4</v>
      </c>
      <c r="E109" s="27"/>
      <c r="F109" s="18">
        <v>3223</v>
      </c>
      <c r="G109" s="18">
        <v>126</v>
      </c>
      <c r="H109" s="18"/>
      <c r="I109" s="18"/>
      <c r="J109" s="27">
        <v>9</v>
      </c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7.25" customHeight="1">
      <c r="A110" s="26" t="s">
        <v>13</v>
      </c>
      <c r="B110" s="95">
        <v>7</v>
      </c>
      <c r="C110" s="85">
        <v>4643</v>
      </c>
      <c r="D110" s="28">
        <v>4</v>
      </c>
      <c r="E110" s="27"/>
      <c r="F110" s="27">
        <v>3223</v>
      </c>
      <c r="G110" s="18">
        <v>126</v>
      </c>
      <c r="H110" s="18"/>
      <c r="I110" s="18"/>
      <c r="J110" s="27">
        <v>9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7.25" customHeight="1">
      <c r="A111" s="35"/>
      <c r="B111" s="144"/>
      <c r="C111" s="143"/>
      <c r="D111" s="37"/>
      <c r="E111" s="36"/>
      <c r="F111" s="36"/>
      <c r="G111" s="38"/>
      <c r="H111" s="38"/>
      <c r="I111" s="38"/>
      <c r="J111" s="36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7.25" customHeight="1">
      <c r="A112" s="52" t="s">
        <v>220</v>
      </c>
      <c r="B112" s="47">
        <f>SUM(B113)</f>
        <v>20</v>
      </c>
      <c r="C112" s="41"/>
      <c r="D112" s="41"/>
      <c r="E112" s="41"/>
      <c r="F112" s="41"/>
      <c r="G112" s="41"/>
      <c r="H112" s="41"/>
      <c r="I112" s="41"/>
      <c r="J112" s="4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7.25" customHeight="1">
      <c r="A113" s="26" t="s">
        <v>192</v>
      </c>
      <c r="B113" s="26">
        <v>20</v>
      </c>
      <c r="C113" s="26">
        <v>4643</v>
      </c>
      <c r="D113" s="26">
        <v>4</v>
      </c>
      <c r="E113" s="26"/>
      <c r="F113" s="26">
        <v>3223</v>
      </c>
      <c r="G113" s="26">
        <v>402</v>
      </c>
      <c r="H113" s="26"/>
      <c r="I113" s="26"/>
      <c r="J113" s="26">
        <v>9</v>
      </c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7.25" customHeight="1">
      <c r="A114" s="35"/>
      <c r="B114" s="144"/>
      <c r="C114" s="143"/>
      <c r="D114" s="37"/>
      <c r="E114" s="36"/>
      <c r="F114" s="36"/>
      <c r="G114" s="38"/>
      <c r="H114" s="38"/>
      <c r="I114" s="38"/>
      <c r="J114" s="36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7.25" customHeight="1">
      <c r="A115" s="35"/>
      <c r="B115" s="36"/>
      <c r="C115" s="36"/>
      <c r="D115" s="37"/>
      <c r="E115" s="36"/>
      <c r="F115" s="36"/>
      <c r="G115" s="38"/>
      <c r="H115" s="38"/>
      <c r="I115" s="38"/>
      <c r="J115" s="36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7.25" customHeight="1">
      <c r="A116" s="22" t="s">
        <v>0</v>
      </c>
      <c r="B116" s="48" t="s">
        <v>6</v>
      </c>
      <c r="C116" s="49" t="s">
        <v>7</v>
      </c>
      <c r="D116" s="49" t="s">
        <v>39</v>
      </c>
      <c r="E116" s="49" t="s">
        <v>8</v>
      </c>
      <c r="F116" s="49" t="s">
        <v>9</v>
      </c>
      <c r="G116" s="49" t="s">
        <v>10</v>
      </c>
      <c r="H116" s="49" t="s">
        <v>48</v>
      </c>
      <c r="I116" s="49" t="s">
        <v>40</v>
      </c>
      <c r="J116" s="49" t="s">
        <v>12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18" s="39" customFormat="1" ht="19.5" customHeight="1">
      <c r="A117" s="52" t="s">
        <v>216</v>
      </c>
      <c r="B117" s="47">
        <f>SUM(B118)</f>
        <v>60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:26" s="29" customFormat="1" ht="19.5" customHeight="1">
      <c r="A118" s="157" t="s">
        <v>326</v>
      </c>
      <c r="B118" s="149">
        <v>60</v>
      </c>
      <c r="C118" s="158">
        <v>4644</v>
      </c>
      <c r="D118" s="158">
        <v>4</v>
      </c>
      <c r="E118" s="159"/>
      <c r="F118" s="159">
        <v>3221</v>
      </c>
      <c r="G118" s="159"/>
      <c r="H118" s="159"/>
      <c r="I118" s="159"/>
      <c r="J118" s="159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="41" customFormat="1" ht="19.5" customHeight="1"/>
    <row r="120" spans="1:18" s="39" customFormat="1" ht="19.5" customHeight="1">
      <c r="A120" s="52" t="s">
        <v>219</v>
      </c>
      <c r="B120" s="47">
        <f>SUM(B121)</f>
        <v>218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0" ht="19.5" customHeight="1">
      <c r="A121" s="26" t="s">
        <v>221</v>
      </c>
      <c r="B121" s="17">
        <v>218</v>
      </c>
      <c r="C121" s="27">
        <v>4642</v>
      </c>
      <c r="D121" s="28">
        <v>4</v>
      </c>
      <c r="E121" s="18"/>
      <c r="F121" s="18">
        <v>3224</v>
      </c>
      <c r="G121" s="18">
        <v>404</v>
      </c>
      <c r="H121" s="18">
        <v>2216</v>
      </c>
      <c r="I121" s="18"/>
      <c r="J121" s="18">
        <v>9</v>
      </c>
    </row>
    <row r="122" spans="1:10" ht="19.5" customHeight="1">
      <c r="A122" s="35"/>
      <c r="B122" s="20"/>
      <c r="C122" s="36"/>
      <c r="D122" s="37"/>
      <c r="E122" s="38"/>
      <c r="F122" s="38"/>
      <c r="G122" s="38"/>
      <c r="H122" s="38"/>
      <c r="I122" s="38"/>
      <c r="J122" s="38"/>
    </row>
    <row r="123" ht="9" customHeight="1">
      <c r="B123" s="64"/>
    </row>
    <row r="124" spans="1:2" s="39" customFormat="1" ht="19.5" customHeight="1">
      <c r="A124" s="50" t="s">
        <v>3</v>
      </c>
      <c r="B124" s="51">
        <f>B51+B81+B108+B117+B72+B93+B101+B120+B112</f>
        <v>3679</v>
      </c>
    </row>
    <row r="126" ht="12.75">
      <c r="B126" s="20"/>
    </row>
    <row r="129" s="24" customFormat="1" ht="15.75"/>
    <row r="131" ht="12.75">
      <c r="B131" s="20"/>
    </row>
  </sheetData>
  <printOptions headings="1"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2" manualBreakCount="2">
    <brk id="79" max="255" man="1"/>
    <brk id="13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D14" sqref="D14"/>
    </sheetView>
  </sheetViews>
  <sheetFormatPr defaultColWidth="9.140625" defaultRowHeight="12.75"/>
  <cols>
    <col min="1" max="1" width="24.421875" style="20" bestFit="1" customWidth="1"/>
    <col min="2" max="2" width="11.140625" style="23" customWidth="1"/>
    <col min="3" max="3" width="10.00390625" style="20" customWidth="1"/>
    <col min="4" max="4" width="6.421875" style="20" customWidth="1"/>
    <col min="5" max="5" width="7.57421875" style="20" customWidth="1"/>
    <col min="6" max="7" width="5.8515625" style="20" customWidth="1"/>
    <col min="8" max="8" width="5.710937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2" ht="19.5" customHeight="1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0" ht="19.5" customHeight="1">
      <c r="A4" s="16" t="s">
        <v>223</v>
      </c>
      <c r="B4" s="17">
        <f>SUM(B18:B21)</f>
        <v>476</v>
      </c>
      <c r="C4" s="18">
        <v>4641</v>
      </c>
      <c r="D4" s="19">
        <v>3614</v>
      </c>
      <c r="E4" s="18"/>
      <c r="F4" s="18">
        <v>323</v>
      </c>
      <c r="G4" s="18">
        <v>1</v>
      </c>
      <c r="H4" s="18"/>
      <c r="I4" s="18"/>
      <c r="J4" s="18">
        <v>4602</v>
      </c>
    </row>
    <row r="5" spans="1:10" ht="19.5" customHeight="1">
      <c r="A5" s="16" t="s">
        <v>123</v>
      </c>
      <c r="B5" s="17">
        <f>36+36</f>
        <v>72</v>
      </c>
      <c r="C5" s="18">
        <v>4646</v>
      </c>
      <c r="D5" s="19">
        <v>3614</v>
      </c>
      <c r="E5" s="18"/>
      <c r="F5" s="18">
        <v>3231</v>
      </c>
      <c r="G5" s="18">
        <v>1</v>
      </c>
      <c r="H5" s="18"/>
      <c r="I5" s="18"/>
      <c r="J5" s="18">
        <v>88</v>
      </c>
    </row>
    <row r="6" spans="1:10" ht="18" customHeight="1">
      <c r="A6" s="26" t="s">
        <v>224</v>
      </c>
      <c r="B6" s="99">
        <v>75</v>
      </c>
      <c r="C6" s="26">
        <v>4646</v>
      </c>
      <c r="D6" s="26">
        <v>3614</v>
      </c>
      <c r="E6" s="26"/>
      <c r="F6" s="26">
        <v>3232</v>
      </c>
      <c r="G6" s="26">
        <v>415</v>
      </c>
      <c r="H6" s="26"/>
      <c r="I6" s="26"/>
      <c r="J6" s="26">
        <v>4602</v>
      </c>
    </row>
    <row r="7" spans="1:10" ht="19.5" customHeight="1">
      <c r="A7" s="16" t="s">
        <v>304</v>
      </c>
      <c r="B7" s="73">
        <f>SUM(B27-B10)</f>
        <v>35</v>
      </c>
      <c r="C7" s="86">
        <v>4646</v>
      </c>
      <c r="D7" s="86">
        <v>3614</v>
      </c>
      <c r="E7" s="86"/>
      <c r="F7" s="86">
        <v>3232</v>
      </c>
      <c r="G7" s="18">
        <v>4</v>
      </c>
      <c r="H7" s="18"/>
      <c r="I7" s="18"/>
      <c r="J7" s="18">
        <v>4602</v>
      </c>
    </row>
    <row r="8" spans="1:10" ht="19.5" customHeight="1">
      <c r="A8" s="16" t="s">
        <v>222</v>
      </c>
      <c r="B8" s="73">
        <f>SUM(B29-B9)</f>
        <v>125</v>
      </c>
      <c r="C8" s="86">
        <v>4646</v>
      </c>
      <c r="D8" s="86">
        <v>3614</v>
      </c>
      <c r="E8" s="86"/>
      <c r="F8" s="86">
        <v>3233</v>
      </c>
      <c r="G8" s="18">
        <v>415</v>
      </c>
      <c r="H8" s="18"/>
      <c r="I8" s="18"/>
      <c r="J8" s="18">
        <v>4602</v>
      </c>
    </row>
    <row r="9" spans="1:10" ht="19.5" customHeight="1">
      <c r="A9" s="16" t="s">
        <v>49</v>
      </c>
      <c r="B9" s="73">
        <v>35</v>
      </c>
      <c r="C9" s="18">
        <v>4646</v>
      </c>
      <c r="D9" s="19">
        <v>3016</v>
      </c>
      <c r="E9" s="18"/>
      <c r="F9" s="18">
        <v>3233</v>
      </c>
      <c r="G9" s="18">
        <v>415</v>
      </c>
      <c r="H9" s="18"/>
      <c r="I9" s="18"/>
      <c r="J9" s="18">
        <v>9</v>
      </c>
    </row>
    <row r="10" spans="1:10" ht="19.5" customHeight="1">
      <c r="A10" s="16" t="s">
        <v>185</v>
      </c>
      <c r="B10" s="73">
        <v>15</v>
      </c>
      <c r="C10" s="18">
        <v>4646</v>
      </c>
      <c r="D10" s="19">
        <v>3017</v>
      </c>
      <c r="E10" s="18"/>
      <c r="F10" s="18">
        <v>3232</v>
      </c>
      <c r="G10" s="18">
        <v>4</v>
      </c>
      <c r="H10" s="18"/>
      <c r="I10" s="18"/>
      <c r="J10" s="18">
        <v>9</v>
      </c>
    </row>
    <row r="11" spans="1:10" ht="19.5" customHeight="1">
      <c r="A11" s="16" t="s">
        <v>318</v>
      </c>
      <c r="B11" s="17"/>
      <c r="C11" s="18"/>
      <c r="D11" s="19"/>
      <c r="E11" s="18"/>
      <c r="F11" s="18"/>
      <c r="G11" s="18"/>
      <c r="H11" s="18"/>
      <c r="I11" s="18"/>
      <c r="J11" s="18"/>
    </row>
    <row r="12" spans="1:2" s="39" customFormat="1" ht="19.5" customHeight="1">
      <c r="A12" s="49" t="s">
        <v>4</v>
      </c>
      <c r="B12" s="48">
        <f>SUM(B4:B11)</f>
        <v>833</v>
      </c>
    </row>
    <row r="13" spans="1:2" ht="19.5" customHeight="1">
      <c r="A13" s="42"/>
      <c r="B13" s="25"/>
    </row>
    <row r="14" s="25" customFormat="1" ht="16.5" customHeight="1"/>
    <row r="15" s="25" customFormat="1" ht="15"/>
    <row r="16" spans="1:10" s="24" customFormat="1" ht="18">
      <c r="A16" s="22" t="s">
        <v>0</v>
      </c>
      <c r="B16" s="48" t="s">
        <v>6</v>
      </c>
      <c r="C16" s="49" t="s">
        <v>7</v>
      </c>
      <c r="D16" s="49" t="s">
        <v>39</v>
      </c>
      <c r="E16" s="49" t="s">
        <v>8</v>
      </c>
      <c r="F16" s="49" t="s">
        <v>9</v>
      </c>
      <c r="G16" s="49" t="s">
        <v>10</v>
      </c>
      <c r="H16" s="49" t="s">
        <v>48</v>
      </c>
      <c r="I16" s="49" t="s">
        <v>40</v>
      </c>
      <c r="J16" s="49" t="s">
        <v>12</v>
      </c>
    </row>
    <row r="17" spans="1:18" s="39" customFormat="1" ht="19.5" customHeight="1">
      <c r="A17" s="52" t="s">
        <v>31</v>
      </c>
      <c r="B17" s="47">
        <f>SUM(B18:B23)</f>
        <v>505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6" s="30" customFormat="1" ht="19.5" customHeight="1">
      <c r="A18" s="16" t="s">
        <v>109</v>
      </c>
      <c r="B18" s="39">
        <v>255</v>
      </c>
      <c r="C18" s="27">
        <v>4641</v>
      </c>
      <c r="D18" s="28">
        <v>4</v>
      </c>
      <c r="E18" s="27"/>
      <c r="F18" s="27">
        <v>323</v>
      </c>
      <c r="G18" s="18">
        <v>112</v>
      </c>
      <c r="H18" s="18"/>
      <c r="I18" s="18"/>
      <c r="J18" s="27">
        <v>9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9.5" customHeight="1">
      <c r="A19" s="26" t="s">
        <v>13</v>
      </c>
      <c r="B19" s="27">
        <v>98</v>
      </c>
      <c r="C19" s="27">
        <v>4641</v>
      </c>
      <c r="D19" s="28">
        <v>4</v>
      </c>
      <c r="E19" s="27"/>
      <c r="F19" s="27">
        <v>323</v>
      </c>
      <c r="G19" s="18">
        <v>112</v>
      </c>
      <c r="H19" s="18"/>
      <c r="I19" s="18"/>
      <c r="J19" s="27">
        <v>9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9.5" customHeight="1">
      <c r="A20" s="26" t="s">
        <v>111</v>
      </c>
      <c r="B20" s="27">
        <v>89</v>
      </c>
      <c r="C20" s="27">
        <v>4641</v>
      </c>
      <c r="D20" s="28">
        <v>4</v>
      </c>
      <c r="E20" s="27"/>
      <c r="F20" s="27">
        <v>323</v>
      </c>
      <c r="G20" s="18">
        <v>117</v>
      </c>
      <c r="H20" s="18"/>
      <c r="I20" s="18"/>
      <c r="J20" s="27">
        <v>9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9.5" customHeight="1">
      <c r="A21" s="26" t="s">
        <v>13</v>
      </c>
      <c r="B21" s="27">
        <v>34</v>
      </c>
      <c r="C21" s="27">
        <v>4641</v>
      </c>
      <c r="D21" s="28">
        <v>4</v>
      </c>
      <c r="E21" s="27"/>
      <c r="F21" s="27">
        <v>323</v>
      </c>
      <c r="G21" s="18">
        <v>117</v>
      </c>
      <c r="H21" s="18"/>
      <c r="I21" s="18"/>
      <c r="J21" s="27">
        <v>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>
      <c r="A22" s="26" t="s">
        <v>110</v>
      </c>
      <c r="B22" s="73">
        <v>21</v>
      </c>
      <c r="C22" s="27">
        <v>4646</v>
      </c>
      <c r="D22" s="28">
        <v>4</v>
      </c>
      <c r="E22" s="27"/>
      <c r="F22" s="18">
        <v>3231</v>
      </c>
      <c r="G22" s="18">
        <v>129</v>
      </c>
      <c r="H22" s="18"/>
      <c r="I22" s="18"/>
      <c r="J22" s="27">
        <v>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.5" customHeight="1">
      <c r="A23" s="26" t="s">
        <v>13</v>
      </c>
      <c r="B23" s="27">
        <v>8</v>
      </c>
      <c r="C23" s="27">
        <v>4646</v>
      </c>
      <c r="D23" s="28">
        <v>4</v>
      </c>
      <c r="E23" s="27"/>
      <c r="F23" s="27">
        <v>3231</v>
      </c>
      <c r="G23" s="18">
        <v>129</v>
      </c>
      <c r="H23" s="18"/>
      <c r="I23" s="18"/>
      <c r="J23" s="27">
        <v>9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="31" customFormat="1" ht="19.5" customHeight="1"/>
    <row r="25" spans="1:18" s="39" customFormat="1" ht="19.5" customHeight="1">
      <c r="A25" s="52" t="s">
        <v>46</v>
      </c>
      <c r="B25" s="47">
        <f>SUM(B26:B36)</f>
        <v>328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26" s="29" customFormat="1" ht="19.5" customHeight="1">
      <c r="A26" s="26" t="s">
        <v>154</v>
      </c>
      <c r="B26" s="73">
        <v>7</v>
      </c>
      <c r="C26" s="27">
        <v>4646</v>
      </c>
      <c r="D26" s="28">
        <v>4</v>
      </c>
      <c r="E26" s="18"/>
      <c r="F26" s="18">
        <v>3231</v>
      </c>
      <c r="G26" s="18">
        <v>49</v>
      </c>
      <c r="H26" s="18"/>
      <c r="I26" s="18"/>
      <c r="J26" s="18">
        <v>9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9.5" customHeight="1">
      <c r="A27" s="26" t="s">
        <v>151</v>
      </c>
      <c r="B27" s="73">
        <v>50</v>
      </c>
      <c r="C27" s="27">
        <v>4646</v>
      </c>
      <c r="D27" s="28">
        <v>4</v>
      </c>
      <c r="E27" s="18"/>
      <c r="F27" s="18">
        <v>3232</v>
      </c>
      <c r="G27" s="18">
        <v>4</v>
      </c>
      <c r="H27" s="18"/>
      <c r="I27" s="18"/>
      <c r="J27" s="18">
        <v>9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10" ht="19.5" customHeight="1">
      <c r="A28" s="26" t="s">
        <v>153</v>
      </c>
      <c r="B28" s="73">
        <v>75</v>
      </c>
      <c r="C28" s="27">
        <v>4646</v>
      </c>
      <c r="D28" s="28">
        <v>4</v>
      </c>
      <c r="E28" s="18"/>
      <c r="F28" s="18">
        <v>3232</v>
      </c>
      <c r="G28" s="18">
        <v>415</v>
      </c>
      <c r="H28" s="18"/>
      <c r="I28" s="18"/>
      <c r="J28" s="18">
        <v>9</v>
      </c>
    </row>
    <row r="29" spans="1:10" ht="19.5" customHeight="1">
      <c r="A29" s="26" t="s">
        <v>152</v>
      </c>
      <c r="B29" s="73">
        <v>160</v>
      </c>
      <c r="C29" s="27">
        <v>4646</v>
      </c>
      <c r="D29" s="28">
        <v>4</v>
      </c>
      <c r="E29" s="18"/>
      <c r="F29" s="18">
        <v>3233</v>
      </c>
      <c r="G29" s="18">
        <v>415</v>
      </c>
      <c r="H29" s="18"/>
      <c r="I29" s="18"/>
      <c r="J29" s="18">
        <v>9</v>
      </c>
    </row>
    <row r="30" spans="1:10" ht="19.5" customHeight="1">
      <c r="A30" s="26" t="s">
        <v>165</v>
      </c>
      <c r="B30" s="73">
        <v>36</v>
      </c>
      <c r="C30" s="27">
        <v>4646</v>
      </c>
      <c r="D30" s="28">
        <v>4</v>
      </c>
      <c r="E30" s="18"/>
      <c r="F30" s="18">
        <v>3232</v>
      </c>
      <c r="G30" s="18">
        <v>406</v>
      </c>
      <c r="H30" s="18"/>
      <c r="I30" s="18"/>
      <c r="J30" s="18">
        <v>9</v>
      </c>
    </row>
    <row r="31" spans="1:10" ht="19.5" customHeight="1">
      <c r="A31" s="26"/>
      <c r="B31" s="73"/>
      <c r="C31" s="27"/>
      <c r="D31" s="28"/>
      <c r="E31" s="18"/>
      <c r="F31" s="18"/>
      <c r="G31" s="18"/>
      <c r="H31" s="18"/>
      <c r="I31" s="18"/>
      <c r="J31" s="18"/>
    </row>
    <row r="32" spans="1:10" ht="19.5" customHeight="1">
      <c r="A32" s="26"/>
      <c r="B32" s="17"/>
      <c r="C32" s="27"/>
      <c r="D32" s="28"/>
      <c r="E32" s="18"/>
      <c r="F32" s="18"/>
      <c r="G32" s="18"/>
      <c r="H32" s="18"/>
      <c r="I32" s="18"/>
      <c r="J32" s="18"/>
    </row>
    <row r="33" spans="1:10" ht="19.5" customHeight="1">
      <c r="A33" s="26"/>
      <c r="B33" s="17"/>
      <c r="C33" s="27"/>
      <c r="D33" s="28"/>
      <c r="E33" s="18"/>
      <c r="F33" s="18"/>
      <c r="G33" s="18"/>
      <c r="H33" s="18"/>
      <c r="I33" s="18"/>
      <c r="J33" s="18"/>
    </row>
    <row r="34" spans="1:10" ht="19.5" customHeight="1">
      <c r="A34" s="26"/>
      <c r="B34" s="17"/>
      <c r="C34" s="27"/>
      <c r="D34" s="28"/>
      <c r="E34" s="18"/>
      <c r="F34" s="18"/>
      <c r="G34" s="18"/>
      <c r="H34" s="18"/>
      <c r="I34" s="18"/>
      <c r="J34" s="18"/>
    </row>
    <row r="35" spans="1:10" ht="19.5" customHeight="1">
      <c r="A35" s="26"/>
      <c r="B35" s="17"/>
      <c r="C35" s="27"/>
      <c r="D35" s="28"/>
      <c r="E35" s="18"/>
      <c r="F35" s="18"/>
      <c r="G35" s="18"/>
      <c r="H35" s="18"/>
      <c r="I35" s="18"/>
      <c r="J35" s="18"/>
    </row>
    <row r="36" spans="1:10" ht="19.5" customHeight="1">
      <c r="A36" s="26" t="s">
        <v>50</v>
      </c>
      <c r="B36" s="17"/>
      <c r="C36" s="27"/>
      <c r="D36" s="28"/>
      <c r="E36" s="18"/>
      <c r="F36" s="18"/>
      <c r="G36" s="18"/>
      <c r="H36" s="18"/>
      <c r="I36" s="18"/>
      <c r="J36" s="18"/>
    </row>
    <row r="38" spans="1:2" s="39" customFormat="1" ht="19.5" customHeight="1">
      <c r="A38" s="50" t="s">
        <v>3</v>
      </c>
      <c r="B38" s="51">
        <f>B17+B25</f>
        <v>833</v>
      </c>
    </row>
  </sheetData>
  <printOptions headings="1"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2" manualBreakCount="2">
    <brk id="60" max="65535" man="1"/>
    <brk id="1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26">
      <selection activeCell="B19" sqref="B19"/>
    </sheetView>
  </sheetViews>
  <sheetFormatPr defaultColWidth="9.140625" defaultRowHeight="12.75"/>
  <cols>
    <col min="1" max="1" width="24.421875" style="20" customWidth="1"/>
    <col min="2" max="2" width="12.28125" style="23" customWidth="1"/>
    <col min="3" max="3" width="10.00390625" style="20" customWidth="1"/>
    <col min="4" max="4" width="6.421875" style="20" customWidth="1"/>
    <col min="5" max="5" width="9.140625" style="20" customWidth="1"/>
    <col min="6" max="7" width="5.8515625" style="20" customWidth="1"/>
    <col min="8" max="8" width="5.710937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ht="19.5" customHeight="1">
      <c r="B1" s="21"/>
    </row>
    <row r="2" ht="12.75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0" ht="19.5" customHeight="1">
      <c r="A4" s="16" t="s">
        <v>112</v>
      </c>
      <c r="B4" s="17">
        <v>40</v>
      </c>
      <c r="C4" s="18">
        <v>4646</v>
      </c>
      <c r="D4" s="19">
        <v>3614</v>
      </c>
      <c r="E4" s="18"/>
      <c r="F4" s="18">
        <v>324</v>
      </c>
      <c r="G4" s="18">
        <v>4</v>
      </c>
      <c r="H4" s="18"/>
      <c r="I4" s="18"/>
      <c r="J4" s="18">
        <v>4602</v>
      </c>
    </row>
    <row r="5" spans="1:10" ht="19.5" customHeight="1">
      <c r="A5" s="16" t="s">
        <v>316</v>
      </c>
      <c r="B5" s="17"/>
      <c r="C5" s="18"/>
      <c r="D5" s="19"/>
      <c r="E5" s="18"/>
      <c r="F5" s="18"/>
      <c r="G5" s="18"/>
      <c r="H5" s="18"/>
      <c r="I5" s="18"/>
      <c r="J5" s="18"/>
    </row>
    <row r="6" spans="1:10" ht="19.5" customHeight="1">
      <c r="A6" s="16"/>
      <c r="B6" s="17"/>
      <c r="C6" s="18"/>
      <c r="D6" s="19"/>
      <c r="E6" s="18"/>
      <c r="F6" s="18"/>
      <c r="G6" s="18"/>
      <c r="H6" s="18"/>
      <c r="I6" s="18"/>
      <c r="J6" s="18"/>
    </row>
    <row r="7" spans="1:10" ht="19.5" customHeight="1">
      <c r="A7" s="16"/>
      <c r="B7" s="17"/>
      <c r="C7" s="18"/>
      <c r="D7" s="19"/>
      <c r="E7" s="18"/>
      <c r="F7" s="18"/>
      <c r="G7" s="18"/>
      <c r="H7" s="18"/>
      <c r="I7" s="18"/>
      <c r="J7" s="18"/>
    </row>
    <row r="8" spans="1:10" ht="19.5" customHeight="1">
      <c r="A8" s="16"/>
      <c r="B8" s="17"/>
      <c r="C8" s="18"/>
      <c r="D8" s="19"/>
      <c r="E8" s="18"/>
      <c r="F8" s="18"/>
      <c r="G8" s="18"/>
      <c r="H8" s="18"/>
      <c r="I8" s="18"/>
      <c r="J8" s="18"/>
    </row>
    <row r="9" spans="1:10" ht="19.5" customHeight="1">
      <c r="A9" s="16"/>
      <c r="B9" s="17"/>
      <c r="C9" s="18"/>
      <c r="D9" s="19"/>
      <c r="E9" s="18"/>
      <c r="F9" s="18"/>
      <c r="G9" s="18"/>
      <c r="H9" s="18"/>
      <c r="I9" s="18"/>
      <c r="J9" s="18"/>
    </row>
    <row r="10" spans="1:2" s="39" customFormat="1" ht="19.5" customHeight="1">
      <c r="A10" s="49" t="s">
        <v>4</v>
      </c>
      <c r="B10" s="48">
        <f>SUM(B4:B9)</f>
        <v>40</v>
      </c>
    </row>
    <row r="11" spans="1:2" ht="19.5" customHeight="1">
      <c r="A11" s="42"/>
      <c r="B11" s="25"/>
    </row>
    <row r="12" s="25" customFormat="1" ht="16.5" customHeight="1"/>
    <row r="13" s="25" customFormat="1" ht="15"/>
    <row r="14" spans="1:10" s="24" customFormat="1" ht="18">
      <c r="A14" s="22" t="s">
        <v>0</v>
      </c>
      <c r="B14" s="48" t="s">
        <v>6</v>
      </c>
      <c r="C14" s="49" t="s">
        <v>7</v>
      </c>
      <c r="D14" s="49" t="s">
        <v>39</v>
      </c>
      <c r="E14" s="49" t="s">
        <v>8</v>
      </c>
      <c r="F14" s="49" t="s">
        <v>9</v>
      </c>
      <c r="G14" s="49" t="s">
        <v>10</v>
      </c>
      <c r="H14" s="49" t="s">
        <v>48</v>
      </c>
      <c r="I14" s="49" t="s">
        <v>40</v>
      </c>
      <c r="J14" s="49" t="s">
        <v>12</v>
      </c>
    </row>
    <row r="15" spans="1:18" s="39" customFormat="1" ht="19.5" customHeight="1">
      <c r="A15" s="52" t="s">
        <v>31</v>
      </c>
      <c r="B15" s="47">
        <f>SUM(B16:B17)</f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6" s="30" customFormat="1" ht="19.5" customHeight="1">
      <c r="A16" s="16"/>
      <c r="C16" s="27">
        <v>4641</v>
      </c>
      <c r="D16" s="28">
        <v>4</v>
      </c>
      <c r="E16" s="27"/>
      <c r="F16" s="27">
        <v>324</v>
      </c>
      <c r="G16" s="18"/>
      <c r="H16" s="18"/>
      <c r="I16" s="18"/>
      <c r="J16" s="27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9.5" customHeight="1">
      <c r="A17" s="26"/>
      <c r="B17" s="27"/>
      <c r="C17" s="27">
        <v>4641</v>
      </c>
      <c r="D17" s="28">
        <v>4</v>
      </c>
      <c r="E17" s="27"/>
      <c r="F17" s="27">
        <v>324</v>
      </c>
      <c r="G17" s="18"/>
      <c r="H17" s="18"/>
      <c r="I17" s="18"/>
      <c r="J17" s="27">
        <v>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="31" customFormat="1" ht="19.5" customHeight="1"/>
    <row r="19" spans="1:18" s="39" customFormat="1" ht="19.5" customHeight="1">
      <c r="A19" s="52" t="s">
        <v>46</v>
      </c>
      <c r="B19" s="47">
        <f>SUM(B20:B25)</f>
        <v>40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26" s="29" customFormat="1" ht="19.5" customHeight="1">
      <c r="A20" s="26" t="s">
        <v>150</v>
      </c>
      <c r="B20" s="17">
        <v>40</v>
      </c>
      <c r="C20" s="27">
        <v>4646</v>
      </c>
      <c r="D20" s="28">
        <v>4</v>
      </c>
      <c r="E20" s="18"/>
      <c r="F20" s="18">
        <v>324</v>
      </c>
      <c r="G20" s="18">
        <v>4</v>
      </c>
      <c r="H20" s="18"/>
      <c r="I20" s="18"/>
      <c r="J20" s="18">
        <v>9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10" ht="19.5" customHeight="1">
      <c r="A21" s="26"/>
      <c r="B21" s="17"/>
      <c r="C21" s="27"/>
      <c r="D21" s="28">
        <v>4</v>
      </c>
      <c r="E21" s="18"/>
      <c r="F21" s="18"/>
      <c r="G21" s="18"/>
      <c r="H21" s="18"/>
      <c r="I21" s="18"/>
      <c r="J21" s="18"/>
    </row>
    <row r="22" spans="1:10" ht="19.5" customHeight="1">
      <c r="A22" s="26"/>
      <c r="B22" s="17"/>
      <c r="C22" s="27"/>
      <c r="D22" s="28">
        <v>4</v>
      </c>
      <c r="E22" s="18"/>
      <c r="F22" s="18"/>
      <c r="G22" s="18"/>
      <c r="H22" s="18"/>
      <c r="I22" s="18"/>
      <c r="J22" s="18"/>
    </row>
    <row r="23" spans="1:10" ht="19.5" customHeight="1">
      <c r="A23" s="26"/>
      <c r="B23" s="17"/>
      <c r="C23" s="27"/>
      <c r="D23" s="28">
        <v>4</v>
      </c>
      <c r="E23" s="18"/>
      <c r="F23" s="18"/>
      <c r="G23" s="18"/>
      <c r="H23" s="18"/>
      <c r="I23" s="18"/>
      <c r="J23" s="18"/>
    </row>
    <row r="24" spans="1:10" ht="19.5" customHeight="1">
      <c r="A24" s="26"/>
      <c r="B24" s="17"/>
      <c r="C24" s="27"/>
      <c r="D24" s="28">
        <v>4</v>
      </c>
      <c r="E24" s="18"/>
      <c r="F24" s="18"/>
      <c r="G24" s="18"/>
      <c r="H24" s="18"/>
      <c r="I24" s="18"/>
      <c r="J24" s="18"/>
    </row>
    <row r="25" spans="1:10" ht="19.5" customHeight="1">
      <c r="A25" s="26" t="s">
        <v>50</v>
      </c>
      <c r="B25" s="17"/>
      <c r="C25" s="27"/>
      <c r="D25" s="28">
        <v>4</v>
      </c>
      <c r="E25" s="18"/>
      <c r="F25" s="18"/>
      <c r="G25" s="18"/>
      <c r="H25" s="18"/>
      <c r="I25" s="18"/>
      <c r="J25" s="18"/>
    </row>
    <row r="27" spans="1:2" s="39" customFormat="1" ht="19.5" customHeight="1">
      <c r="A27" s="50" t="s">
        <v>3</v>
      </c>
      <c r="B27" s="51">
        <f>B15+B19</f>
        <v>40</v>
      </c>
    </row>
  </sheetData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2" manualBreakCount="2">
    <brk id="60" max="65535" man="1"/>
    <brk id="13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">
      <selection activeCell="K23" sqref="K23"/>
    </sheetView>
  </sheetViews>
  <sheetFormatPr defaultColWidth="9.140625" defaultRowHeight="12.75"/>
  <cols>
    <col min="1" max="1" width="25.00390625" style="20" customWidth="1"/>
    <col min="2" max="2" width="12.28125" style="23" customWidth="1"/>
    <col min="3" max="3" width="10.00390625" style="20" customWidth="1"/>
    <col min="4" max="4" width="6.421875" style="20" customWidth="1"/>
    <col min="5" max="5" width="9.140625" style="20" customWidth="1"/>
    <col min="6" max="7" width="5.8515625" style="20" customWidth="1"/>
    <col min="8" max="8" width="5.710937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ht="19.5" customHeight="1">
      <c r="B1" s="21"/>
    </row>
    <row r="2" ht="12.75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0" ht="19.5" customHeight="1">
      <c r="A4" s="16" t="s">
        <v>114</v>
      </c>
      <c r="B4" s="17">
        <v>75</v>
      </c>
      <c r="C4" s="18">
        <v>4645</v>
      </c>
      <c r="D4" s="19">
        <v>3614</v>
      </c>
      <c r="E4" s="18"/>
      <c r="F4" s="18">
        <v>325</v>
      </c>
      <c r="G4" s="18">
        <v>411</v>
      </c>
      <c r="H4" s="18"/>
      <c r="I4" s="18"/>
      <c r="J4" s="18">
        <v>4602</v>
      </c>
    </row>
    <row r="5" spans="1:10" ht="19.5" customHeight="1">
      <c r="A5" s="16" t="s">
        <v>96</v>
      </c>
      <c r="B5" s="73">
        <f>B20+B21</f>
        <v>337</v>
      </c>
      <c r="C5" s="18">
        <v>4641</v>
      </c>
      <c r="D5" s="19">
        <v>3614</v>
      </c>
      <c r="E5" s="18"/>
      <c r="F5" s="18">
        <v>325</v>
      </c>
      <c r="G5" s="18">
        <v>112</v>
      </c>
      <c r="H5" s="18"/>
      <c r="I5" s="18"/>
      <c r="J5" s="18">
        <v>4602</v>
      </c>
    </row>
    <row r="6" spans="1:10" ht="19.5" customHeight="1">
      <c r="A6" s="16" t="s">
        <v>188</v>
      </c>
      <c r="B6" s="17">
        <f>SUM(B22+B23-40)</f>
        <v>84</v>
      </c>
      <c r="C6" s="18">
        <v>4645</v>
      </c>
      <c r="D6" s="19">
        <v>3614</v>
      </c>
      <c r="E6" s="18"/>
      <c r="F6" s="18">
        <v>325</v>
      </c>
      <c r="G6" s="86">
        <v>112</v>
      </c>
      <c r="H6" s="18"/>
      <c r="I6" s="18"/>
      <c r="J6" s="18">
        <v>4602</v>
      </c>
    </row>
    <row r="7" spans="1:10" ht="19.5" customHeight="1">
      <c r="A7" s="16" t="s">
        <v>113</v>
      </c>
      <c r="B7" s="73">
        <v>120</v>
      </c>
      <c r="C7" s="18">
        <v>4645</v>
      </c>
      <c r="D7" s="19">
        <v>3614</v>
      </c>
      <c r="E7" s="18"/>
      <c r="F7" s="18">
        <v>3253</v>
      </c>
      <c r="G7" s="18">
        <v>4</v>
      </c>
      <c r="H7" s="18"/>
      <c r="I7" s="18"/>
      <c r="J7" s="18">
        <v>4602</v>
      </c>
    </row>
    <row r="8" spans="1:10" ht="19.5" customHeight="1">
      <c r="A8" s="26" t="s">
        <v>149</v>
      </c>
      <c r="B8" s="88">
        <f>B34</f>
        <v>168</v>
      </c>
      <c r="C8" s="26">
        <v>4645</v>
      </c>
      <c r="D8" s="19">
        <v>3614</v>
      </c>
      <c r="E8" s="26"/>
      <c r="F8" s="26">
        <v>3253</v>
      </c>
      <c r="G8" s="26">
        <v>82</v>
      </c>
      <c r="H8" s="26"/>
      <c r="I8" s="26"/>
      <c r="J8" s="26">
        <v>4602</v>
      </c>
    </row>
    <row r="9" spans="1:10" ht="19.5" customHeight="1">
      <c r="A9" s="16" t="s">
        <v>55</v>
      </c>
      <c r="B9" s="73"/>
      <c r="C9" s="18">
        <v>4645</v>
      </c>
      <c r="D9" s="19">
        <v>352</v>
      </c>
      <c r="E9" s="18"/>
      <c r="F9" s="18">
        <v>3252</v>
      </c>
      <c r="G9" s="86">
        <v>1</v>
      </c>
      <c r="H9" s="18"/>
      <c r="I9" s="18"/>
      <c r="J9" s="18">
        <v>9</v>
      </c>
    </row>
    <row r="10" spans="1:10" ht="19.5" customHeight="1">
      <c r="A10" s="16" t="s">
        <v>299</v>
      </c>
      <c r="B10" s="17">
        <v>200</v>
      </c>
      <c r="C10" s="18">
        <v>4645</v>
      </c>
      <c r="D10" s="19">
        <v>3614</v>
      </c>
      <c r="E10" s="18"/>
      <c r="F10" s="18">
        <v>3252</v>
      </c>
      <c r="G10" s="18">
        <v>412</v>
      </c>
      <c r="H10" s="18">
        <v>2502</v>
      </c>
      <c r="I10" s="18"/>
      <c r="J10" s="18"/>
    </row>
    <row r="11" spans="1:10" ht="19.5" customHeight="1">
      <c r="A11" s="16" t="s">
        <v>316</v>
      </c>
      <c r="B11" s="17"/>
      <c r="C11" s="18"/>
      <c r="D11" s="19"/>
      <c r="E11" s="18"/>
      <c r="F11" s="18"/>
      <c r="G11" s="18"/>
      <c r="H11" s="18"/>
      <c r="I11" s="18"/>
      <c r="J11" s="18"/>
    </row>
    <row r="12" spans="1:10" ht="19.5" customHeight="1">
      <c r="A12" s="16"/>
      <c r="B12" s="17"/>
      <c r="C12" s="18"/>
      <c r="D12" s="19"/>
      <c r="E12" s="18"/>
      <c r="F12" s="18"/>
      <c r="G12" s="18"/>
      <c r="H12" s="18"/>
      <c r="I12" s="18"/>
      <c r="J12" s="18"/>
    </row>
    <row r="13" spans="1:10" ht="19.5" customHeight="1">
      <c r="A13" s="16"/>
      <c r="B13" s="17"/>
      <c r="C13" s="18"/>
      <c r="D13" s="19"/>
      <c r="E13" s="18"/>
      <c r="F13" s="18"/>
      <c r="G13" s="18"/>
      <c r="H13" s="18"/>
      <c r="I13" s="18"/>
      <c r="J13" s="18"/>
    </row>
    <row r="14" spans="1:2" s="39" customFormat="1" ht="19.5" customHeight="1">
      <c r="A14" s="49" t="s">
        <v>4</v>
      </c>
      <c r="B14" s="48">
        <f>SUM(B4:B13)</f>
        <v>984</v>
      </c>
    </row>
    <row r="15" spans="1:2" ht="19.5" customHeight="1">
      <c r="A15" s="42"/>
      <c r="B15" s="25"/>
    </row>
    <row r="16" s="25" customFormat="1" ht="16.5" customHeight="1"/>
    <row r="17" s="25" customFormat="1" ht="15"/>
    <row r="18" spans="1:10" s="24" customFormat="1" ht="18">
      <c r="A18" s="22" t="s">
        <v>0</v>
      </c>
      <c r="B18" s="48" t="s">
        <v>6</v>
      </c>
      <c r="C18" s="49" t="s">
        <v>7</v>
      </c>
      <c r="D18" s="49" t="s">
        <v>39</v>
      </c>
      <c r="E18" s="49" t="s">
        <v>8</v>
      </c>
      <c r="F18" s="49" t="s">
        <v>9</v>
      </c>
      <c r="G18" s="49" t="s">
        <v>10</v>
      </c>
      <c r="H18" s="49" t="s">
        <v>48</v>
      </c>
      <c r="I18" s="49" t="s">
        <v>40</v>
      </c>
      <c r="J18" s="49" t="s">
        <v>12</v>
      </c>
    </row>
    <row r="19" spans="1:18" s="39" customFormat="1" ht="19.5" customHeight="1">
      <c r="A19" s="52" t="s">
        <v>31</v>
      </c>
      <c r="B19" s="47">
        <f>SUM(B20:B25)</f>
        <v>621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26" s="30" customFormat="1" ht="19.5" customHeight="1">
      <c r="A20" s="16" t="s">
        <v>136</v>
      </c>
      <c r="B20" s="87">
        <v>243</v>
      </c>
      <c r="C20" s="27">
        <v>4641</v>
      </c>
      <c r="D20" s="28">
        <v>4</v>
      </c>
      <c r="E20" s="27"/>
      <c r="F20" s="27">
        <v>325</v>
      </c>
      <c r="G20" s="18">
        <v>112</v>
      </c>
      <c r="H20" s="18"/>
      <c r="I20" s="18"/>
      <c r="J20" s="27">
        <v>9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9.5" customHeight="1">
      <c r="A21" s="26" t="s">
        <v>13</v>
      </c>
      <c r="B21" s="85">
        <v>94</v>
      </c>
      <c r="C21" s="27">
        <v>4641</v>
      </c>
      <c r="D21" s="28">
        <v>4</v>
      </c>
      <c r="E21" s="27"/>
      <c r="F21" s="27">
        <v>325</v>
      </c>
      <c r="G21" s="18">
        <v>112</v>
      </c>
      <c r="H21" s="18"/>
      <c r="I21" s="18"/>
      <c r="J21" s="27">
        <v>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30" customFormat="1" ht="19.5" customHeight="1">
      <c r="A22" s="160" t="s">
        <v>225</v>
      </c>
      <c r="B22" s="161">
        <v>90</v>
      </c>
      <c r="C22" s="158">
        <v>4645</v>
      </c>
      <c r="D22" s="158">
        <v>4</v>
      </c>
      <c r="E22" s="158"/>
      <c r="F22" s="158">
        <v>325</v>
      </c>
      <c r="G22" s="159">
        <v>112</v>
      </c>
      <c r="H22" s="159"/>
      <c r="I22" s="159"/>
      <c r="J22" s="158">
        <v>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9.5" customHeight="1">
      <c r="A23" s="157" t="s">
        <v>13</v>
      </c>
      <c r="B23" s="158">
        <v>34</v>
      </c>
      <c r="C23" s="158">
        <v>4645</v>
      </c>
      <c r="D23" s="158">
        <v>4</v>
      </c>
      <c r="E23" s="158"/>
      <c r="F23" s="158">
        <v>325</v>
      </c>
      <c r="G23" s="159">
        <v>112</v>
      </c>
      <c r="H23" s="159"/>
      <c r="I23" s="159"/>
      <c r="J23" s="158">
        <v>9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9.5" customHeight="1">
      <c r="A24" s="26" t="s">
        <v>302</v>
      </c>
      <c r="B24" s="73">
        <v>160</v>
      </c>
      <c r="C24" s="27">
        <v>4645</v>
      </c>
      <c r="D24" s="28">
        <v>4</v>
      </c>
      <c r="E24" s="27"/>
      <c r="F24" s="18">
        <v>3252</v>
      </c>
      <c r="G24" s="18">
        <v>12</v>
      </c>
      <c r="H24" s="18">
        <v>2502</v>
      </c>
      <c r="I24" s="18"/>
      <c r="J24" s="27">
        <v>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9.5" customHeight="1">
      <c r="A25" s="26" t="s">
        <v>13</v>
      </c>
      <c r="B25" s="27"/>
      <c r="C25" s="27">
        <v>4645</v>
      </c>
      <c r="D25" s="28">
        <v>4</v>
      </c>
      <c r="E25" s="27"/>
      <c r="F25" s="27">
        <v>3252</v>
      </c>
      <c r="G25" s="18">
        <v>12</v>
      </c>
      <c r="H25" s="18"/>
      <c r="I25" s="18"/>
      <c r="J25" s="27">
        <v>9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="31" customFormat="1" ht="19.5" customHeight="1"/>
    <row r="27" spans="1:18" s="39" customFormat="1" ht="19.5" customHeight="1">
      <c r="A27" s="52" t="s">
        <v>301</v>
      </c>
      <c r="B27" s="47">
        <f>SUM(B28:B32)</f>
        <v>288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26" s="29" customFormat="1" ht="19.5" customHeight="1">
      <c r="A28" s="26" t="s">
        <v>66</v>
      </c>
      <c r="B28" s="17">
        <v>75</v>
      </c>
      <c r="C28" s="27">
        <v>4645</v>
      </c>
      <c r="D28" s="28">
        <v>4</v>
      </c>
      <c r="E28" s="18"/>
      <c r="F28" s="18">
        <v>325</v>
      </c>
      <c r="G28" s="18">
        <v>411</v>
      </c>
      <c r="H28" s="18"/>
      <c r="I28" s="18"/>
      <c r="J28" s="18">
        <v>9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9.5" customHeight="1">
      <c r="A29" s="26" t="s">
        <v>22</v>
      </c>
      <c r="B29" s="73">
        <v>120</v>
      </c>
      <c r="C29" s="27">
        <v>4645</v>
      </c>
      <c r="D29" s="28">
        <v>4</v>
      </c>
      <c r="E29" s="18"/>
      <c r="F29" s="18">
        <v>3253</v>
      </c>
      <c r="G29" s="18">
        <v>407</v>
      </c>
      <c r="H29" s="18"/>
      <c r="I29" s="18"/>
      <c r="J29" s="18">
        <v>9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6" t="s">
        <v>165</v>
      </c>
      <c r="B30" s="17">
        <v>40</v>
      </c>
      <c r="C30" s="27">
        <v>4645</v>
      </c>
      <c r="D30" s="28">
        <v>4</v>
      </c>
      <c r="E30" s="18"/>
      <c r="F30" s="18">
        <v>3253</v>
      </c>
      <c r="G30" s="18">
        <v>4</v>
      </c>
      <c r="H30" s="18"/>
      <c r="I30" s="18"/>
      <c r="J30" s="18">
        <v>9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10" ht="19.5" customHeight="1">
      <c r="A31" s="157" t="s">
        <v>303</v>
      </c>
      <c r="B31" s="149">
        <v>53</v>
      </c>
      <c r="C31" s="158">
        <v>4645</v>
      </c>
      <c r="D31" s="158">
        <v>4</v>
      </c>
      <c r="E31" s="159"/>
      <c r="F31" s="159">
        <v>3252</v>
      </c>
      <c r="G31" s="159">
        <v>412</v>
      </c>
      <c r="H31" s="159">
        <v>2501</v>
      </c>
      <c r="I31" s="159"/>
      <c r="J31" s="159"/>
    </row>
    <row r="32" spans="1:10" ht="19.5" customHeight="1">
      <c r="A32" s="26"/>
      <c r="B32" s="17"/>
      <c r="C32" s="27"/>
      <c r="D32" s="28"/>
      <c r="E32" s="18"/>
      <c r="F32" s="18"/>
      <c r="G32" s="86"/>
      <c r="H32" s="18"/>
      <c r="I32" s="18"/>
      <c r="J32" s="18"/>
    </row>
    <row r="33" spans="1:10" ht="19.5" customHeight="1">
      <c r="A33" s="37"/>
      <c r="B33" s="37"/>
      <c r="C33" s="37"/>
      <c r="D33" s="37"/>
      <c r="E33" s="38"/>
      <c r="F33" s="38"/>
      <c r="G33" s="38"/>
      <c r="H33" s="38"/>
      <c r="I33" s="38"/>
      <c r="J33" s="38"/>
    </row>
    <row r="34" spans="1:20" s="39" customFormat="1" ht="19.5" customHeight="1">
      <c r="A34" s="52" t="s">
        <v>34</v>
      </c>
      <c r="B34" s="46">
        <f>SUM(B35:B39)</f>
        <v>168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10" ht="19.5" customHeight="1">
      <c r="A35" s="16" t="s">
        <v>33</v>
      </c>
      <c r="B35" s="17">
        <v>168</v>
      </c>
      <c r="C35" s="27">
        <v>4645</v>
      </c>
      <c r="D35" s="28">
        <v>4</v>
      </c>
      <c r="E35" s="18"/>
      <c r="F35" s="18">
        <v>3253</v>
      </c>
      <c r="G35" s="18">
        <v>82</v>
      </c>
      <c r="H35" s="18"/>
      <c r="I35" s="18"/>
      <c r="J35" s="18">
        <v>88</v>
      </c>
    </row>
    <row r="36" spans="1:10" ht="19.5" customHeight="1">
      <c r="A36" s="26"/>
      <c r="B36" s="17"/>
      <c r="C36" s="27"/>
      <c r="D36" s="28">
        <v>4</v>
      </c>
      <c r="E36" s="18"/>
      <c r="F36" s="18"/>
      <c r="G36" s="18"/>
      <c r="H36" s="18"/>
      <c r="I36" s="18"/>
      <c r="J36" s="18"/>
    </row>
    <row r="37" spans="1:10" ht="19.5" customHeight="1">
      <c r="A37" s="26"/>
      <c r="B37" s="17"/>
      <c r="C37" s="27"/>
      <c r="D37" s="28">
        <v>4</v>
      </c>
      <c r="E37" s="18"/>
      <c r="F37" s="18"/>
      <c r="G37" s="18"/>
      <c r="H37" s="18"/>
      <c r="I37" s="18"/>
      <c r="J37" s="18"/>
    </row>
    <row r="38" spans="1:10" ht="19.5" customHeight="1">
      <c r="A38" s="26"/>
      <c r="B38" s="17"/>
      <c r="C38" s="27"/>
      <c r="D38" s="28">
        <v>4</v>
      </c>
      <c r="E38" s="18"/>
      <c r="F38" s="18"/>
      <c r="G38" s="18"/>
      <c r="H38" s="18"/>
      <c r="I38" s="18"/>
      <c r="J38" s="18"/>
    </row>
    <row r="39" spans="1:10" ht="19.5" customHeight="1">
      <c r="A39" s="26"/>
      <c r="B39" s="17"/>
      <c r="C39" s="27"/>
      <c r="D39" s="28">
        <v>4</v>
      </c>
      <c r="E39" s="18"/>
      <c r="F39" s="18"/>
      <c r="G39" s="18"/>
      <c r="H39" s="18"/>
      <c r="I39" s="18"/>
      <c r="J39" s="18"/>
    </row>
    <row r="41" spans="1:2" s="39" customFormat="1" ht="19.5" customHeight="1">
      <c r="A41" s="50" t="s">
        <v>3</v>
      </c>
      <c r="B41" s="51">
        <f>B19+B27+B34</f>
        <v>1077</v>
      </c>
    </row>
  </sheetData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1" manualBreakCount="1">
    <brk id="1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26">
      <selection activeCell="B23" sqref="B23"/>
    </sheetView>
  </sheetViews>
  <sheetFormatPr defaultColWidth="9.140625" defaultRowHeight="12.75"/>
  <cols>
    <col min="1" max="1" width="24.421875" style="20" customWidth="1"/>
    <col min="2" max="2" width="12.28125" style="23" customWidth="1"/>
    <col min="3" max="3" width="10.00390625" style="20" customWidth="1"/>
    <col min="4" max="4" width="6.421875" style="20" customWidth="1"/>
    <col min="5" max="5" width="9.140625" style="20" customWidth="1"/>
    <col min="6" max="7" width="5.8515625" style="20" customWidth="1"/>
    <col min="8" max="8" width="5.7109375" style="20" customWidth="1"/>
    <col min="9" max="9" width="5.00390625" style="20" customWidth="1"/>
    <col min="10" max="10" width="5.421875" style="20" customWidth="1"/>
    <col min="11" max="16384" width="8.8515625" style="20" customWidth="1"/>
  </cols>
  <sheetData>
    <row r="1" ht="19.5" customHeight="1">
      <c r="B1" s="21"/>
    </row>
    <row r="2" ht="12.75">
      <c r="B2" s="21"/>
    </row>
    <row r="3" spans="1:10" s="24" customFormat="1" ht="19.5" customHeight="1">
      <c r="A3" s="22" t="s">
        <v>2</v>
      </c>
      <c r="B3" s="48" t="s">
        <v>6</v>
      </c>
      <c r="C3" s="49" t="s">
        <v>7</v>
      </c>
      <c r="D3" s="49" t="s">
        <v>39</v>
      </c>
      <c r="E3" s="49" t="s">
        <v>8</v>
      </c>
      <c r="F3" s="49" t="s">
        <v>9</v>
      </c>
      <c r="G3" s="49" t="s">
        <v>10</v>
      </c>
      <c r="H3" s="49" t="s">
        <v>48</v>
      </c>
      <c r="I3" s="49" t="s">
        <v>40</v>
      </c>
      <c r="J3" s="49" t="s">
        <v>12</v>
      </c>
    </row>
    <row r="4" spans="1:10" ht="19.5" customHeight="1">
      <c r="A4" s="16" t="s">
        <v>115</v>
      </c>
      <c r="B4" s="17">
        <v>37</v>
      </c>
      <c r="C4" s="18">
        <v>4641</v>
      </c>
      <c r="D4" s="19">
        <v>3614</v>
      </c>
      <c r="E4" s="18"/>
      <c r="F4" s="18">
        <v>326</v>
      </c>
      <c r="G4" s="18">
        <v>114</v>
      </c>
      <c r="H4" s="18"/>
      <c r="I4" s="18"/>
      <c r="J4" s="18">
        <v>4602</v>
      </c>
    </row>
    <row r="5" spans="1:10" ht="19.5" customHeight="1">
      <c r="A5" s="16" t="s">
        <v>148</v>
      </c>
      <c r="B5" s="73">
        <v>13</v>
      </c>
      <c r="C5" s="18">
        <v>4645</v>
      </c>
      <c r="D5" s="19">
        <v>3614</v>
      </c>
      <c r="E5" s="18"/>
      <c r="F5" s="18">
        <v>326</v>
      </c>
      <c r="G5" s="18">
        <v>7</v>
      </c>
      <c r="H5" s="18"/>
      <c r="I5" s="18"/>
      <c r="J5" s="18">
        <v>4602</v>
      </c>
    </row>
    <row r="6" spans="1:10" ht="19.5" customHeight="1">
      <c r="A6" s="16" t="s">
        <v>316</v>
      </c>
      <c r="B6" s="17"/>
      <c r="C6" s="18"/>
      <c r="D6" s="19"/>
      <c r="E6" s="18"/>
      <c r="F6" s="18"/>
      <c r="G6" s="18"/>
      <c r="H6" s="18"/>
      <c r="I6" s="18"/>
      <c r="J6" s="18"/>
    </row>
    <row r="7" spans="1:10" ht="19.5" customHeight="1">
      <c r="A7" s="16"/>
      <c r="B7" s="17"/>
      <c r="C7" s="18"/>
      <c r="D7" s="19"/>
      <c r="E7" s="18"/>
      <c r="F7" s="18"/>
      <c r="G7" s="18"/>
      <c r="H7" s="18"/>
      <c r="I7" s="18"/>
      <c r="J7" s="18"/>
    </row>
    <row r="8" spans="1:10" ht="19.5" customHeight="1">
      <c r="A8" s="16"/>
      <c r="B8" s="17"/>
      <c r="C8" s="18"/>
      <c r="D8" s="19"/>
      <c r="E8" s="18"/>
      <c r="F8" s="18"/>
      <c r="G8" s="18"/>
      <c r="H8" s="18"/>
      <c r="I8" s="18"/>
      <c r="J8" s="18"/>
    </row>
    <row r="9" spans="1:10" ht="19.5" customHeight="1">
      <c r="A9" s="16"/>
      <c r="B9" s="17"/>
      <c r="C9" s="18"/>
      <c r="D9" s="19"/>
      <c r="E9" s="18"/>
      <c r="F9" s="18"/>
      <c r="G9" s="18"/>
      <c r="H9" s="18"/>
      <c r="I9" s="18"/>
      <c r="J9" s="18"/>
    </row>
    <row r="10" spans="1:10" ht="19.5" customHeight="1">
      <c r="A10" s="16"/>
      <c r="B10" s="17"/>
      <c r="C10" s="18"/>
      <c r="D10" s="19"/>
      <c r="E10" s="18"/>
      <c r="F10" s="18"/>
      <c r="G10" s="18"/>
      <c r="H10" s="18"/>
      <c r="I10" s="18"/>
      <c r="J10" s="18"/>
    </row>
    <row r="11" spans="1:2" s="39" customFormat="1" ht="19.5" customHeight="1">
      <c r="A11" s="49" t="s">
        <v>4</v>
      </c>
      <c r="B11" s="48">
        <f>SUM(B4:B10)</f>
        <v>50</v>
      </c>
    </row>
    <row r="12" spans="1:2" ht="19.5" customHeight="1">
      <c r="A12" s="42"/>
      <c r="B12" s="25"/>
    </row>
    <row r="13" s="25" customFormat="1" ht="15"/>
    <row r="14" s="25" customFormat="1" ht="15"/>
    <row r="15" spans="1:10" s="24" customFormat="1" ht="18">
      <c r="A15" s="22" t="s">
        <v>0</v>
      </c>
      <c r="B15" s="48" t="s">
        <v>6</v>
      </c>
      <c r="C15" s="49" t="s">
        <v>7</v>
      </c>
      <c r="D15" s="49" t="s">
        <v>39</v>
      </c>
      <c r="E15" s="49" t="s">
        <v>8</v>
      </c>
      <c r="F15" s="49" t="s">
        <v>9</v>
      </c>
      <c r="G15" s="49" t="s">
        <v>10</v>
      </c>
      <c r="H15" s="49" t="s">
        <v>48</v>
      </c>
      <c r="I15" s="49" t="s">
        <v>40</v>
      </c>
      <c r="J15" s="49" t="s">
        <v>12</v>
      </c>
    </row>
    <row r="16" spans="1:18" s="39" customFormat="1" ht="19.5" customHeight="1">
      <c r="A16" s="52" t="s">
        <v>31</v>
      </c>
      <c r="B16" s="47">
        <f>SUM(B17:B18)</f>
        <v>37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26" s="30" customFormat="1" ht="19.5" customHeight="1">
      <c r="A17" s="16" t="s">
        <v>137</v>
      </c>
      <c r="B17" s="39">
        <v>27</v>
      </c>
      <c r="C17" s="27">
        <v>4641</v>
      </c>
      <c r="D17" s="28">
        <v>4</v>
      </c>
      <c r="E17" s="27"/>
      <c r="F17" s="27">
        <v>326</v>
      </c>
      <c r="G17" s="18">
        <v>112</v>
      </c>
      <c r="H17" s="18"/>
      <c r="I17" s="18"/>
      <c r="J17" s="27">
        <v>9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9.5" customHeight="1">
      <c r="A18" s="26" t="s">
        <v>13</v>
      </c>
      <c r="B18" s="27">
        <v>10</v>
      </c>
      <c r="C18" s="27">
        <v>4641</v>
      </c>
      <c r="D18" s="28">
        <v>4</v>
      </c>
      <c r="E18" s="27"/>
      <c r="F18" s="27">
        <v>326</v>
      </c>
      <c r="G18" s="18">
        <v>112</v>
      </c>
      <c r="H18" s="18"/>
      <c r="I18" s="18"/>
      <c r="J18" s="27">
        <v>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="31" customFormat="1" ht="19.5" customHeight="1"/>
    <row r="20" spans="1:18" s="39" customFormat="1" ht="19.5" customHeight="1">
      <c r="A20" s="52" t="s">
        <v>57</v>
      </c>
      <c r="B20" s="47">
        <f>SUM(B21:B25)</f>
        <v>13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26" s="29" customFormat="1" ht="19.5" customHeight="1">
      <c r="A21" s="26" t="s">
        <v>147</v>
      </c>
      <c r="B21" s="73">
        <v>13</v>
      </c>
      <c r="C21" s="27">
        <v>4645</v>
      </c>
      <c r="D21" s="28">
        <v>4</v>
      </c>
      <c r="E21" s="18"/>
      <c r="F21" s="18">
        <v>326</v>
      </c>
      <c r="G21" s="18"/>
      <c r="H21" s="18"/>
      <c r="I21" s="18"/>
      <c r="J21" s="18">
        <v>9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9.5" customHeight="1">
      <c r="A22" s="26" t="s">
        <v>41</v>
      </c>
      <c r="B22" s="73"/>
      <c r="C22" s="27"/>
      <c r="D22" s="28">
        <v>4</v>
      </c>
      <c r="E22" s="18"/>
      <c r="F22" s="18"/>
      <c r="G22" s="18"/>
      <c r="H22" s="18"/>
      <c r="I22" s="18"/>
      <c r="J22" s="1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10" ht="19.5" customHeight="1">
      <c r="A23" s="26" t="s">
        <v>320</v>
      </c>
      <c r="B23" s="17"/>
      <c r="C23" s="27"/>
      <c r="D23" s="28">
        <v>4</v>
      </c>
      <c r="E23" s="18"/>
      <c r="F23" s="18"/>
      <c r="G23" s="18"/>
      <c r="H23" s="18"/>
      <c r="I23" s="18"/>
      <c r="J23" s="18"/>
    </row>
    <row r="24" spans="1:10" ht="19.5" customHeight="1">
      <c r="A24" s="26"/>
      <c r="B24" s="17"/>
      <c r="C24" s="27"/>
      <c r="D24" s="28">
        <v>4</v>
      </c>
      <c r="E24" s="18"/>
      <c r="F24" s="18"/>
      <c r="G24" s="18"/>
      <c r="H24" s="18"/>
      <c r="I24" s="18"/>
      <c r="J24" s="18"/>
    </row>
    <row r="25" spans="1:10" ht="19.5" customHeight="1">
      <c r="A25" s="26"/>
      <c r="B25" s="17"/>
      <c r="C25" s="27"/>
      <c r="D25" s="28">
        <v>4</v>
      </c>
      <c r="E25" s="18"/>
      <c r="F25" s="18"/>
      <c r="G25" s="18"/>
      <c r="H25" s="18"/>
      <c r="I25" s="18"/>
      <c r="J25" s="18"/>
    </row>
    <row r="26" spans="1:10" ht="19.5" customHeight="1">
      <c r="A26" s="37"/>
      <c r="B26" s="37"/>
      <c r="C26" s="37"/>
      <c r="D26" s="37"/>
      <c r="E26" s="38"/>
      <c r="F26" s="38"/>
      <c r="G26" s="38"/>
      <c r="H26" s="38"/>
      <c r="I26" s="38"/>
      <c r="J26" s="38"/>
    </row>
    <row r="30" spans="1:2" s="39" customFormat="1" ht="19.5" customHeight="1">
      <c r="A30" s="50" t="s">
        <v>3</v>
      </c>
      <c r="B30" s="51">
        <f>B16+B20</f>
        <v>50</v>
      </c>
    </row>
  </sheetData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5" r:id="rId1"/>
  <headerFooter alignWithMargins="0">
    <oddHeader>&amp;L&amp;"Times New RomanVFet"&amp;12NACKA KOMMUN
&amp;"Times New RomanVNormal"Kultur Nacka&amp;C&amp;"Times New RomanVFet"&amp;14Budget 2000
&amp;A&amp;"Times New RomanVNormal"&amp;12
</oddHeader>
  </headerFooter>
  <rowBreaks count="2" manualBreakCount="2">
    <brk id="60" max="65535" man="1"/>
    <brk id="1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Budgetmall97</dc:title>
  <dc:subject/>
  <dc:creator/>
  <cp:keywords/>
  <dc:description/>
  <cp:lastModifiedBy>Håkan Sundblad</cp:lastModifiedBy>
  <cp:lastPrinted>2001-02-12T15:14:36Z</cp:lastPrinted>
  <dcterms:created xsi:type="dcterms:W3CDTF">1998-03-16T13:17:58Z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